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chel/Desktop/"/>
    </mc:Choice>
  </mc:AlternateContent>
  <xr:revisionPtr revIDLastSave="0" documentId="8_{51E5349D-6743-AF46-AB85-A05767CD5CA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CT -Scoring" sheetId="6" r:id="rId1"/>
    <sheet name="JE - Scoring" sheetId="7" r:id="rId2"/>
    <sheet name="Sheet1" sheetId="8" r:id="rId3"/>
    <sheet name="Sheet2" sheetId="9" r:id="rId4"/>
  </sheets>
  <definedNames>
    <definedName name="_xlnm.Print_Area" localSheetId="0">'CT -Scoring'!$A$3:$R$83</definedName>
    <definedName name="_xlnm.Print_Area" localSheetId="1">'JE - Scoring'!$B$3:$T$64</definedName>
    <definedName name="_xlnm.Print_Titles" localSheetId="0">'CT -Scoring'!$3:$4</definedName>
    <definedName name="_xlnm.Print_Titles" localSheetId="1">'JE - Scoring'!$3:$5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3" i="6" l="1"/>
  <c r="R82" i="6"/>
  <c r="R81" i="6"/>
  <c r="R80" i="6"/>
  <c r="R77" i="6"/>
  <c r="R76" i="6"/>
  <c r="R75" i="6"/>
  <c r="R74" i="6"/>
  <c r="R73" i="6"/>
  <c r="R72" i="6"/>
  <c r="R71" i="6"/>
  <c r="R67" i="6"/>
  <c r="R66" i="6"/>
  <c r="R65" i="6"/>
  <c r="R58" i="6"/>
  <c r="R57" i="6"/>
  <c r="R56" i="6"/>
  <c r="R55" i="6"/>
  <c r="R50" i="6"/>
  <c r="R49" i="6"/>
  <c r="R48" i="6"/>
  <c r="R47" i="6"/>
  <c r="R46" i="6"/>
  <c r="R45" i="6"/>
  <c r="R42" i="6"/>
  <c r="R41" i="6"/>
  <c r="R40" i="6"/>
  <c r="R39" i="6"/>
  <c r="R38" i="6"/>
  <c r="R37" i="6"/>
  <c r="R36" i="6"/>
  <c r="R35" i="6"/>
  <c r="R34" i="6"/>
  <c r="R31" i="6"/>
  <c r="R30" i="6"/>
  <c r="R29" i="6"/>
  <c r="R28" i="6"/>
  <c r="R27" i="6"/>
  <c r="R26" i="6"/>
  <c r="R23" i="6"/>
  <c r="R22" i="6"/>
  <c r="R21" i="6"/>
  <c r="R20" i="6"/>
  <c r="R19" i="6"/>
  <c r="R18" i="6"/>
  <c r="R7" i="6"/>
  <c r="R8" i="6"/>
  <c r="R9" i="6"/>
  <c r="R10" i="6"/>
  <c r="R11" i="6"/>
  <c r="R12" i="6"/>
  <c r="R13" i="6"/>
  <c r="R14" i="6"/>
  <c r="R15" i="6"/>
  <c r="R6" i="6"/>
  <c r="R5" i="6"/>
  <c r="L15" i="6" l="1"/>
  <c r="M15" i="6" s="1"/>
  <c r="L14" i="6"/>
  <c r="M14" i="6" s="1"/>
  <c r="L13" i="6"/>
  <c r="M13" i="6" s="1"/>
  <c r="L12" i="6"/>
  <c r="M12" i="6" s="1"/>
  <c r="L11" i="6"/>
  <c r="M11" i="6" s="1"/>
  <c r="L10" i="6"/>
  <c r="M10" i="6" s="1"/>
  <c r="L9" i="6"/>
  <c r="M9" i="6" s="1"/>
  <c r="L8" i="6"/>
  <c r="M8" i="6" s="1"/>
  <c r="L7" i="6"/>
  <c r="M7" i="6" s="1"/>
  <c r="L6" i="6"/>
  <c r="M6" i="6" s="1"/>
  <c r="L23" i="6"/>
  <c r="M23" i="6" s="1"/>
  <c r="L22" i="6"/>
  <c r="M22" i="6" s="1"/>
  <c r="L21" i="6"/>
  <c r="M21" i="6" s="1"/>
  <c r="L20" i="6"/>
  <c r="M20" i="6" s="1"/>
  <c r="L19" i="6"/>
  <c r="M19" i="6" s="1"/>
  <c r="L18" i="6"/>
  <c r="M18" i="6" s="1"/>
  <c r="L26" i="6"/>
  <c r="M26" i="6" s="1"/>
  <c r="L83" i="6"/>
  <c r="M83" i="6" s="1"/>
  <c r="L82" i="6"/>
  <c r="M82" i="6" s="1"/>
  <c r="L81" i="6"/>
  <c r="M81" i="6" s="1"/>
  <c r="L80" i="6"/>
  <c r="M80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67" i="6"/>
  <c r="M67" i="6" s="1"/>
  <c r="L66" i="6"/>
  <c r="M66" i="6" s="1"/>
  <c r="L65" i="6"/>
  <c r="M65" i="6" s="1"/>
  <c r="L58" i="6"/>
  <c r="M58" i="6" s="1"/>
  <c r="L57" i="6"/>
  <c r="M57" i="6" s="1"/>
  <c r="L56" i="6"/>
  <c r="M56" i="6" s="1"/>
  <c r="L55" i="6"/>
  <c r="M55" i="6" s="1"/>
  <c r="L50" i="6"/>
  <c r="L49" i="6"/>
  <c r="L48" i="6"/>
  <c r="L47" i="6"/>
  <c r="L46" i="6"/>
  <c r="L45" i="6"/>
  <c r="L42" i="6"/>
  <c r="L41" i="6"/>
  <c r="L40" i="6"/>
  <c r="L39" i="6"/>
  <c r="L38" i="6"/>
  <c r="L37" i="6"/>
  <c r="L36" i="6"/>
  <c r="L35" i="6"/>
  <c r="L34" i="6"/>
  <c r="L28" i="6"/>
  <c r="L29" i="6"/>
  <c r="L30" i="6"/>
  <c r="L31" i="6"/>
  <c r="L27" i="6"/>
  <c r="T15" i="6" l="1"/>
  <c r="H15" i="6"/>
  <c r="I15" i="6" s="1"/>
  <c r="J15" i="6" s="1"/>
  <c r="T14" i="6"/>
  <c r="H14" i="6"/>
  <c r="I14" i="6" s="1"/>
  <c r="J14" i="6" s="1"/>
  <c r="T13" i="6"/>
  <c r="H13" i="6"/>
  <c r="I13" i="6" s="1"/>
  <c r="J13" i="6" s="1"/>
  <c r="T12" i="6"/>
  <c r="T11" i="6"/>
  <c r="T10" i="6"/>
  <c r="T9" i="6"/>
  <c r="T8" i="6"/>
  <c r="R17" i="6"/>
  <c r="H18" i="6"/>
  <c r="I18" i="6" s="1"/>
  <c r="J18" i="6" s="1"/>
  <c r="T18" i="6"/>
  <c r="H19" i="6"/>
  <c r="I19" i="6" s="1"/>
  <c r="J19" i="6" s="1"/>
  <c r="T19" i="6"/>
  <c r="H20" i="6"/>
  <c r="I20" i="6" s="1"/>
  <c r="J20" i="6" s="1"/>
  <c r="T20" i="6"/>
  <c r="H21" i="6"/>
  <c r="I21" i="6" s="1"/>
  <c r="J21" i="6" s="1"/>
  <c r="T21" i="6"/>
  <c r="S86" i="9"/>
  <c r="Q86" i="9"/>
  <c r="L86" i="9"/>
  <c r="H86" i="9"/>
  <c r="I86" i="9" s="1"/>
  <c r="O86" i="9" s="1"/>
  <c r="S85" i="9"/>
  <c r="Q85" i="9"/>
  <c r="L85" i="9"/>
  <c r="H85" i="9"/>
  <c r="I85" i="9" s="1"/>
  <c r="O85" i="9" s="1"/>
  <c r="S84" i="9"/>
  <c r="L84" i="9"/>
  <c r="G84" i="9"/>
  <c r="F84" i="9"/>
  <c r="Q84" i="9" s="1"/>
  <c r="S83" i="9"/>
  <c r="L83" i="9"/>
  <c r="G83" i="9"/>
  <c r="F83" i="9"/>
  <c r="Q83" i="9" s="1"/>
  <c r="S82" i="9"/>
  <c r="L82" i="9"/>
  <c r="Q82" i="9" s="1"/>
  <c r="H82" i="9"/>
  <c r="I82" i="9" s="1"/>
  <c r="O82" i="9" s="1"/>
  <c r="G82" i="9"/>
  <c r="S81" i="9"/>
  <c r="L81" i="9"/>
  <c r="G81" i="9"/>
  <c r="Q81" i="9" s="1"/>
  <c r="F81" i="9"/>
  <c r="S79" i="9"/>
  <c r="Q79" i="9"/>
  <c r="K79" i="9"/>
  <c r="L79" i="9" s="1"/>
  <c r="H79" i="9"/>
  <c r="I79" i="9" s="1"/>
  <c r="O79" i="9" s="1"/>
  <c r="S78" i="9"/>
  <c r="Q78" i="9"/>
  <c r="L78" i="9"/>
  <c r="K78" i="9"/>
  <c r="I78" i="9"/>
  <c r="O78" i="9" s="1"/>
  <c r="H78" i="9"/>
  <c r="S77" i="9"/>
  <c r="Q77" i="9"/>
  <c r="K77" i="9"/>
  <c r="L77" i="9" s="1"/>
  <c r="H77" i="9"/>
  <c r="I77" i="9" s="1"/>
  <c r="S76" i="9"/>
  <c r="L76" i="9"/>
  <c r="Q76" i="9" s="1"/>
  <c r="K76" i="9"/>
  <c r="I76" i="9"/>
  <c r="O76" i="9" s="1"/>
  <c r="H76" i="9"/>
  <c r="S75" i="9"/>
  <c r="K75" i="9"/>
  <c r="L75" i="9" s="1"/>
  <c r="Q75" i="9" s="1"/>
  <c r="H75" i="9"/>
  <c r="I75" i="9" s="1"/>
  <c r="S74" i="9"/>
  <c r="Q74" i="9"/>
  <c r="L74" i="9"/>
  <c r="K74" i="9"/>
  <c r="I74" i="9"/>
  <c r="O74" i="9" s="1"/>
  <c r="H74" i="9"/>
  <c r="S73" i="9"/>
  <c r="K73" i="9"/>
  <c r="L73" i="9" s="1"/>
  <c r="Q73" i="9" s="1"/>
  <c r="H73" i="9"/>
  <c r="I73" i="9" s="1"/>
  <c r="O73" i="9" s="1"/>
  <c r="S72" i="9"/>
  <c r="L72" i="9"/>
  <c r="Q72" i="9" s="1"/>
  <c r="K72" i="9"/>
  <c r="I72" i="9"/>
  <c r="O72" i="9" s="1"/>
  <c r="H72" i="9"/>
  <c r="S70" i="9"/>
  <c r="Q70" i="9"/>
  <c r="L70" i="9"/>
  <c r="I70" i="9"/>
  <c r="O70" i="9" s="1"/>
  <c r="H70" i="9"/>
  <c r="S69" i="9"/>
  <c r="L69" i="9"/>
  <c r="G69" i="9"/>
  <c r="F69" i="9"/>
  <c r="Q69" i="9" s="1"/>
  <c r="S68" i="9"/>
  <c r="Q68" i="9"/>
  <c r="L68" i="9"/>
  <c r="G68" i="9"/>
  <c r="F68" i="9"/>
  <c r="H68" i="9" s="1"/>
  <c r="I68" i="9" s="1"/>
  <c r="O68" i="9" s="1"/>
  <c r="S67" i="9"/>
  <c r="Q67" i="9"/>
  <c r="L67" i="9"/>
  <c r="G67" i="9"/>
  <c r="F67" i="9"/>
  <c r="H67" i="9" s="1"/>
  <c r="I67" i="9" s="1"/>
  <c r="O67" i="9" s="1"/>
  <c r="S66" i="9"/>
  <c r="L66" i="9"/>
  <c r="G66" i="9"/>
  <c r="F66" i="9"/>
  <c r="Q66" i="9" s="1"/>
  <c r="S65" i="9"/>
  <c r="Q65" i="9"/>
  <c r="L65" i="9"/>
  <c r="G65" i="9"/>
  <c r="F65" i="9"/>
  <c r="H65" i="9" s="1"/>
  <c r="I65" i="9" s="1"/>
  <c r="O65" i="9" s="1"/>
  <c r="S64" i="9"/>
  <c r="L64" i="9"/>
  <c r="G64" i="9"/>
  <c r="F64" i="9"/>
  <c r="Q64" i="9" s="1"/>
  <c r="S63" i="9"/>
  <c r="L63" i="9"/>
  <c r="G63" i="9"/>
  <c r="F63" i="9"/>
  <c r="Q63" i="9" s="1"/>
  <c r="S61" i="9"/>
  <c r="Q61" i="9"/>
  <c r="O61" i="9"/>
  <c r="L61" i="9"/>
  <c r="I61" i="9"/>
  <c r="H61" i="9"/>
  <c r="S60" i="9"/>
  <c r="L60" i="9"/>
  <c r="H60" i="9"/>
  <c r="I60" i="9" s="1"/>
  <c r="O60" i="9" s="1"/>
  <c r="F60" i="9"/>
  <c r="S58" i="9"/>
  <c r="L58" i="9"/>
  <c r="H58" i="9"/>
  <c r="I58" i="9" s="1"/>
  <c r="O58" i="9" s="1"/>
  <c r="F58" i="9"/>
  <c r="S56" i="9"/>
  <c r="Q56" i="9"/>
  <c r="I56" i="9"/>
  <c r="H56" i="9"/>
  <c r="S55" i="9"/>
  <c r="Q55" i="9"/>
  <c r="L55" i="9"/>
  <c r="I55" i="9"/>
  <c r="O55" i="9" s="1"/>
  <c r="H55" i="9"/>
  <c r="S54" i="9"/>
  <c r="L54" i="9"/>
  <c r="G54" i="9"/>
  <c r="F54" i="9"/>
  <c r="Q54" i="9" s="1"/>
  <c r="S53" i="9"/>
  <c r="L53" i="9"/>
  <c r="G53" i="9"/>
  <c r="F53" i="9"/>
  <c r="Q53" i="9" s="1"/>
  <c r="S52" i="9"/>
  <c r="L52" i="9"/>
  <c r="G52" i="9"/>
  <c r="F52" i="9"/>
  <c r="Q52" i="9" s="1"/>
  <c r="S51" i="9"/>
  <c r="L51" i="9"/>
  <c r="G51" i="9"/>
  <c r="F51" i="9"/>
  <c r="Q51" i="9" s="1"/>
  <c r="S50" i="9"/>
  <c r="L50" i="9"/>
  <c r="G50" i="9"/>
  <c r="F50" i="9"/>
  <c r="Q50" i="9" s="1"/>
  <c r="S48" i="9"/>
  <c r="Q48" i="9"/>
  <c r="K48" i="9"/>
  <c r="L48" i="9" s="1"/>
  <c r="H48" i="9"/>
  <c r="I48" i="9" s="1"/>
  <c r="O48" i="9" s="1"/>
  <c r="S47" i="9"/>
  <c r="K47" i="9"/>
  <c r="L47" i="9" s="1"/>
  <c r="G47" i="9"/>
  <c r="F47" i="9"/>
  <c r="H47" i="9" s="1"/>
  <c r="I47" i="9" s="1"/>
  <c r="O47" i="9" s="1"/>
  <c r="S46" i="9"/>
  <c r="K46" i="9"/>
  <c r="L46" i="9" s="1"/>
  <c r="G46" i="9"/>
  <c r="F46" i="9"/>
  <c r="H46" i="9" s="1"/>
  <c r="I46" i="9" s="1"/>
  <c r="O46" i="9" s="1"/>
  <c r="S45" i="9"/>
  <c r="K45" i="9"/>
  <c r="L45" i="9" s="1"/>
  <c r="G45" i="9"/>
  <c r="F45" i="9"/>
  <c r="H45" i="9" s="1"/>
  <c r="I45" i="9" s="1"/>
  <c r="O45" i="9" s="1"/>
  <c r="S44" i="9"/>
  <c r="K44" i="9"/>
  <c r="L44" i="9" s="1"/>
  <c r="G44" i="9"/>
  <c r="F44" i="9"/>
  <c r="H44" i="9" s="1"/>
  <c r="I44" i="9" s="1"/>
  <c r="O44" i="9" s="1"/>
  <c r="S43" i="9"/>
  <c r="L43" i="9"/>
  <c r="K43" i="9"/>
  <c r="G43" i="9"/>
  <c r="Q43" i="9" s="1"/>
  <c r="F43" i="9"/>
  <c r="H43" i="9" s="1"/>
  <c r="I43" i="9" s="1"/>
  <c r="O43" i="9" s="1"/>
  <c r="S41" i="9"/>
  <c r="Q41" i="9"/>
  <c r="O41" i="9"/>
  <c r="L41" i="9"/>
  <c r="I41" i="9"/>
  <c r="H41" i="9"/>
  <c r="S40" i="9"/>
  <c r="Q40" i="9"/>
  <c r="L40" i="9"/>
  <c r="I40" i="9"/>
  <c r="O40" i="9" s="1"/>
  <c r="H40" i="9"/>
  <c r="S39" i="9"/>
  <c r="Q39" i="9"/>
  <c r="O39" i="9"/>
  <c r="L39" i="9"/>
  <c r="I39" i="9"/>
  <c r="H39" i="9"/>
  <c r="S38" i="9"/>
  <c r="Q38" i="9"/>
  <c r="L38" i="9"/>
  <c r="G38" i="9"/>
  <c r="H38" i="9" s="1"/>
  <c r="I38" i="9" s="1"/>
  <c r="O38" i="9" s="1"/>
  <c r="F38" i="9"/>
  <c r="S37" i="9"/>
  <c r="L37" i="9"/>
  <c r="I37" i="9"/>
  <c r="O37" i="9" s="1"/>
  <c r="H37" i="9"/>
  <c r="G37" i="9"/>
  <c r="Q37" i="9" s="1"/>
  <c r="F37" i="9"/>
  <c r="S36" i="9"/>
  <c r="Q36" i="9"/>
  <c r="L36" i="9"/>
  <c r="I36" i="9"/>
  <c r="O36" i="9" s="1"/>
  <c r="H36" i="9"/>
  <c r="G36" i="9"/>
  <c r="F36" i="9"/>
  <c r="S35" i="9"/>
  <c r="Q35" i="9"/>
  <c r="L35" i="9"/>
  <c r="I35" i="9"/>
  <c r="O35" i="9" s="1"/>
  <c r="H35" i="9"/>
  <c r="G35" i="9"/>
  <c r="F35" i="9"/>
  <c r="S34" i="9"/>
  <c r="Q34" i="9"/>
  <c r="L34" i="9"/>
  <c r="I34" i="9"/>
  <c r="O34" i="9" s="1"/>
  <c r="H34" i="9"/>
  <c r="G34" i="9"/>
  <c r="F34" i="9"/>
  <c r="S33" i="9"/>
  <c r="Q33" i="9"/>
  <c r="L33" i="9"/>
  <c r="I33" i="9"/>
  <c r="O33" i="9" s="1"/>
  <c r="H33" i="9"/>
  <c r="G33" i="9"/>
  <c r="F33" i="9"/>
  <c r="S32" i="9"/>
  <c r="Q32" i="9"/>
  <c r="L32" i="9"/>
  <c r="I32" i="9"/>
  <c r="O32" i="9" s="1"/>
  <c r="H32" i="9"/>
  <c r="G32" i="9"/>
  <c r="F32" i="9"/>
  <c r="S31" i="9"/>
  <c r="Q31" i="9"/>
  <c r="L31" i="9"/>
  <c r="I31" i="9"/>
  <c r="O31" i="9" s="1"/>
  <c r="H31" i="9"/>
  <c r="G31" i="9"/>
  <c r="F31" i="9"/>
  <c r="S29" i="9"/>
  <c r="Q29" i="9"/>
  <c r="L29" i="9"/>
  <c r="I29" i="9"/>
  <c r="O29" i="9" s="1"/>
  <c r="H29" i="9"/>
  <c r="S28" i="9"/>
  <c r="Q28" i="9"/>
  <c r="L28" i="9"/>
  <c r="G28" i="9"/>
  <c r="H28" i="9" s="1"/>
  <c r="I28" i="9" s="1"/>
  <c r="O28" i="9" s="1"/>
  <c r="S27" i="9"/>
  <c r="L27" i="9"/>
  <c r="G27" i="9"/>
  <c r="F27" i="9"/>
  <c r="Q27" i="9" s="1"/>
  <c r="S26" i="9"/>
  <c r="L26" i="9"/>
  <c r="Q26" i="9" s="1"/>
  <c r="I26" i="9"/>
  <c r="O26" i="9" s="1"/>
  <c r="H26" i="9"/>
  <c r="G26" i="9"/>
  <c r="S25" i="9"/>
  <c r="Q25" i="9"/>
  <c r="L25" i="9"/>
  <c r="I25" i="9"/>
  <c r="O25" i="9" s="1"/>
  <c r="H25" i="9"/>
  <c r="G25" i="9"/>
  <c r="F25" i="9"/>
  <c r="S24" i="9"/>
  <c r="Q24" i="9"/>
  <c r="L24" i="9"/>
  <c r="I24" i="9"/>
  <c r="O24" i="9" s="1"/>
  <c r="H24" i="9"/>
  <c r="G24" i="9"/>
  <c r="F24" i="9"/>
  <c r="S23" i="9"/>
  <c r="Q23" i="9"/>
  <c r="L23" i="9"/>
  <c r="I23" i="9"/>
  <c r="O23" i="9" s="1"/>
  <c r="H23" i="9"/>
  <c r="G23" i="9"/>
  <c r="S22" i="9"/>
  <c r="Q22" i="9"/>
  <c r="L22" i="9"/>
  <c r="H22" i="9"/>
  <c r="I22" i="9" s="1"/>
  <c r="O22" i="9" s="1"/>
  <c r="G22" i="9"/>
  <c r="S20" i="9"/>
  <c r="Q20" i="9"/>
  <c r="L20" i="9"/>
  <c r="K20" i="9"/>
  <c r="H20" i="9"/>
  <c r="I20" i="9" s="1"/>
  <c r="O20" i="9" s="1"/>
  <c r="S19" i="9"/>
  <c r="Q19" i="9"/>
  <c r="L19" i="9"/>
  <c r="K19" i="9"/>
  <c r="F19" i="9"/>
  <c r="H19" i="9" s="1"/>
  <c r="I19" i="9" s="1"/>
  <c r="O19" i="9" s="1"/>
  <c r="S18" i="9"/>
  <c r="Q18" i="9"/>
  <c r="L18" i="9"/>
  <c r="K18" i="9"/>
  <c r="F18" i="9"/>
  <c r="H18" i="9" s="1"/>
  <c r="I18" i="9" s="1"/>
  <c r="O18" i="9" s="1"/>
  <c r="S17" i="9"/>
  <c r="Q17" i="9"/>
  <c r="L17" i="9"/>
  <c r="K17" i="9"/>
  <c r="F17" i="9"/>
  <c r="H17" i="9" s="1"/>
  <c r="I17" i="9" s="1"/>
  <c r="O17" i="9" s="1"/>
  <c r="S16" i="9"/>
  <c r="L16" i="9"/>
  <c r="K16" i="9"/>
  <c r="F16" i="9"/>
  <c r="Q16" i="9" s="1"/>
  <c r="S15" i="9"/>
  <c r="L15" i="9"/>
  <c r="K15" i="9"/>
  <c r="F15" i="9"/>
  <c r="Q15" i="9" s="1"/>
  <c r="S14" i="9"/>
  <c r="L14" i="9"/>
  <c r="K14" i="9"/>
  <c r="F14" i="9"/>
  <c r="Q14" i="9" s="1"/>
  <c r="S13" i="9"/>
  <c r="L13" i="9"/>
  <c r="K13" i="9"/>
  <c r="F13" i="9"/>
  <c r="Q13" i="9" s="1"/>
  <c r="S12" i="9"/>
  <c r="L12" i="9"/>
  <c r="K12" i="9"/>
  <c r="F12" i="9"/>
  <c r="Q12" i="9" s="1"/>
  <c r="S11" i="9"/>
  <c r="L11" i="9"/>
  <c r="K11" i="9"/>
  <c r="F11" i="9"/>
  <c r="Q11" i="9" s="1"/>
  <c r="S10" i="9"/>
  <c r="L10" i="9"/>
  <c r="K10" i="9"/>
  <c r="F10" i="9"/>
  <c r="Q10" i="9" s="1"/>
  <c r="Q9" i="9"/>
  <c r="S8" i="9"/>
  <c r="Q8" i="9"/>
  <c r="O8" i="9"/>
  <c r="L8" i="9"/>
  <c r="I8" i="9"/>
  <c r="H8" i="9"/>
  <c r="S7" i="9"/>
  <c r="L7" i="9"/>
  <c r="G7" i="9"/>
  <c r="Q7" i="9" s="1"/>
  <c r="F7" i="9"/>
  <c r="S6" i="9"/>
  <c r="L6" i="9"/>
  <c r="G6" i="9"/>
  <c r="Q6" i="9" s="1"/>
  <c r="F6" i="9"/>
  <c r="Q5" i="9"/>
  <c r="O3" i="9"/>
  <c r="U1" i="9"/>
  <c r="P1" i="9"/>
  <c r="O1" i="9"/>
  <c r="Q60" i="8"/>
  <c r="O60" i="8"/>
  <c r="M60" i="8"/>
  <c r="H60" i="8"/>
  <c r="T60" i="8" s="1"/>
  <c r="O59" i="8"/>
  <c r="Q59" i="8" s="1"/>
  <c r="L59" i="8"/>
  <c r="M59" i="8" s="1"/>
  <c r="K59" i="8"/>
  <c r="H59" i="8"/>
  <c r="T59" i="8" s="1"/>
  <c r="G59" i="8"/>
  <c r="O58" i="8"/>
  <c r="Q58" i="8" s="1"/>
  <c r="L58" i="8"/>
  <c r="M58" i="8" s="1"/>
  <c r="K58" i="8"/>
  <c r="H58" i="8"/>
  <c r="T58" i="8" s="1"/>
  <c r="G58" i="8"/>
  <c r="O57" i="8"/>
  <c r="Q57" i="8" s="1"/>
  <c r="L57" i="8"/>
  <c r="M57" i="8" s="1"/>
  <c r="K57" i="8"/>
  <c r="H57" i="8"/>
  <c r="G57" i="8"/>
  <c r="O56" i="8"/>
  <c r="Q56" i="8" s="1"/>
  <c r="L56" i="8"/>
  <c r="M56" i="8" s="1"/>
  <c r="K56" i="8"/>
  <c r="H56" i="8"/>
  <c r="G56" i="8"/>
  <c r="O55" i="8"/>
  <c r="Q55" i="8" s="1"/>
  <c r="M55" i="8"/>
  <c r="H55" i="8"/>
  <c r="T55" i="8" s="1"/>
  <c r="G55" i="8"/>
  <c r="O54" i="8"/>
  <c r="Q54" i="8" s="1"/>
  <c r="M54" i="8"/>
  <c r="H54" i="8"/>
  <c r="T54" i="8" s="1"/>
  <c r="Q53" i="8"/>
  <c r="O53" i="8"/>
  <c r="M53" i="8"/>
  <c r="H53" i="8"/>
  <c r="T53" i="8" s="1"/>
  <c r="O52" i="8"/>
  <c r="Q52" i="8" s="1"/>
  <c r="M52" i="8"/>
  <c r="H52" i="8"/>
  <c r="T52" i="8" s="1"/>
  <c r="Q50" i="8"/>
  <c r="O50" i="8"/>
  <c r="M50" i="8"/>
  <c r="H50" i="8"/>
  <c r="T50" i="8" s="1"/>
  <c r="O49" i="8"/>
  <c r="Q49" i="8" s="1"/>
  <c r="M49" i="8"/>
  <c r="H49" i="8"/>
  <c r="T49" i="8" s="1"/>
  <c r="G49" i="8"/>
  <c r="O48" i="8"/>
  <c r="Q48" i="8" s="1"/>
  <c r="L48" i="8"/>
  <c r="K48" i="8"/>
  <c r="M48" i="8" s="1"/>
  <c r="H48" i="8"/>
  <c r="Q47" i="8"/>
  <c r="O47" i="8"/>
  <c r="M47" i="8"/>
  <c r="H47" i="8"/>
  <c r="T47" i="8" s="1"/>
  <c r="O46" i="8"/>
  <c r="Q46" i="8" s="1"/>
  <c r="M46" i="8"/>
  <c r="H46" i="8"/>
  <c r="T46" i="8" s="1"/>
  <c r="G46" i="8"/>
  <c r="O44" i="8"/>
  <c r="Q44" i="8" s="1"/>
  <c r="M44" i="8"/>
  <c r="H44" i="8"/>
  <c r="T44" i="8" s="1"/>
  <c r="Q43" i="8"/>
  <c r="O43" i="8"/>
  <c r="M43" i="8"/>
  <c r="K43" i="8"/>
  <c r="H43" i="8"/>
  <c r="T43" i="8" s="1"/>
  <c r="F43" i="8"/>
  <c r="O42" i="8"/>
  <c r="Q42" i="8" s="1"/>
  <c r="M42" i="8"/>
  <c r="H42" i="8"/>
  <c r="T42" i="8" s="1"/>
  <c r="Q40" i="8"/>
  <c r="O40" i="8"/>
  <c r="M40" i="8"/>
  <c r="H40" i="8"/>
  <c r="T40" i="8" s="1"/>
  <c r="O39" i="8"/>
  <c r="Q39" i="8" s="1"/>
  <c r="M39" i="8"/>
  <c r="H39" i="8"/>
  <c r="T39" i="8" s="1"/>
  <c r="Q38" i="8"/>
  <c r="O38" i="8"/>
  <c r="M38" i="8"/>
  <c r="G38" i="8"/>
  <c r="H38" i="8" s="1"/>
  <c r="T38" i="8" s="1"/>
  <c r="Q37" i="8"/>
  <c r="O37" i="8"/>
  <c r="M37" i="8"/>
  <c r="G37" i="8"/>
  <c r="H37" i="8" s="1"/>
  <c r="T37" i="8" s="1"/>
  <c r="Q36" i="8"/>
  <c r="O36" i="8"/>
  <c r="M36" i="8"/>
  <c r="G36" i="8"/>
  <c r="H36" i="8" s="1"/>
  <c r="T36" i="8" s="1"/>
  <c r="Q35" i="8"/>
  <c r="O35" i="8"/>
  <c r="M35" i="8"/>
  <c r="G35" i="8"/>
  <c r="H35" i="8" s="1"/>
  <c r="T35" i="8" s="1"/>
  <c r="Q34" i="8"/>
  <c r="O34" i="8"/>
  <c r="M34" i="8"/>
  <c r="G34" i="8"/>
  <c r="H34" i="8" s="1"/>
  <c r="T34" i="8" s="1"/>
  <c r="Q33" i="8"/>
  <c r="O33" i="8"/>
  <c r="M33" i="8"/>
  <c r="G33" i="8"/>
  <c r="H33" i="8" s="1"/>
  <c r="T33" i="8" s="1"/>
  <c r="S31" i="8"/>
  <c r="O31" i="8"/>
  <c r="Q31" i="8" s="1"/>
  <c r="M31" i="8"/>
  <c r="H31" i="8"/>
  <c r="T31" i="8" s="1"/>
  <c r="S30" i="8"/>
  <c r="O30" i="8"/>
  <c r="Q30" i="8" s="1"/>
  <c r="M30" i="8"/>
  <c r="H30" i="8"/>
  <c r="T30" i="8" s="1"/>
  <c r="S29" i="8"/>
  <c r="O29" i="8"/>
  <c r="Q29" i="8" s="1"/>
  <c r="M29" i="8"/>
  <c r="H29" i="8"/>
  <c r="T29" i="8" s="1"/>
  <c r="G29" i="8"/>
  <c r="S28" i="8"/>
  <c r="Q28" i="8"/>
  <c r="O28" i="8"/>
  <c r="M28" i="8"/>
  <c r="G28" i="8"/>
  <c r="H28" i="8" s="1"/>
  <c r="T28" i="8" s="1"/>
  <c r="S27" i="8"/>
  <c r="O27" i="8"/>
  <c r="Q27" i="8" s="1"/>
  <c r="M27" i="8"/>
  <c r="H27" i="8"/>
  <c r="T27" i="8" s="1"/>
  <c r="G27" i="8"/>
  <c r="Q26" i="8"/>
  <c r="O26" i="8"/>
  <c r="M26" i="8"/>
  <c r="G26" i="8"/>
  <c r="F26" i="8"/>
  <c r="H26" i="8" s="1"/>
  <c r="Q25" i="8"/>
  <c r="O25" i="8"/>
  <c r="M25" i="8"/>
  <c r="T25" i="8" s="1"/>
  <c r="L25" i="8"/>
  <c r="H25" i="8"/>
  <c r="S25" i="8" s="1"/>
  <c r="G25" i="8"/>
  <c r="Q24" i="8"/>
  <c r="O24" i="8"/>
  <c r="M24" i="8"/>
  <c r="G24" i="8"/>
  <c r="H24" i="8" s="1"/>
  <c r="S22" i="8"/>
  <c r="O22" i="8"/>
  <c r="M22" i="8"/>
  <c r="T22" i="8" s="1"/>
  <c r="J22" i="8"/>
  <c r="Q22" i="8" s="1"/>
  <c r="H22" i="8"/>
  <c r="Q21" i="8"/>
  <c r="O21" i="8"/>
  <c r="M21" i="8"/>
  <c r="J21" i="8"/>
  <c r="H21" i="8"/>
  <c r="T21" i="8" s="1"/>
  <c r="O20" i="8"/>
  <c r="M20" i="8"/>
  <c r="J20" i="8"/>
  <c r="Q20" i="8" s="1"/>
  <c r="G20" i="8"/>
  <c r="H20" i="8" s="1"/>
  <c r="O19" i="8"/>
  <c r="M19" i="8"/>
  <c r="J19" i="8"/>
  <c r="Q19" i="8" s="1"/>
  <c r="G19" i="8"/>
  <c r="H19" i="8" s="1"/>
  <c r="O18" i="8"/>
  <c r="M18" i="8"/>
  <c r="J18" i="8"/>
  <c r="Q18" i="8" s="1"/>
  <c r="G18" i="8"/>
  <c r="H18" i="8" s="1"/>
  <c r="S17" i="8"/>
  <c r="O17" i="8"/>
  <c r="M17" i="8"/>
  <c r="J17" i="8"/>
  <c r="Q17" i="8" s="1"/>
  <c r="H17" i="8"/>
  <c r="T17" i="8" s="1"/>
  <c r="T15" i="8"/>
  <c r="S15" i="8"/>
  <c r="Q15" i="8"/>
  <c r="O15" i="8"/>
  <c r="M15" i="8"/>
  <c r="J15" i="8"/>
  <c r="H15" i="8"/>
  <c r="S14" i="8"/>
  <c r="O14" i="8"/>
  <c r="L14" i="8"/>
  <c r="K14" i="8"/>
  <c r="M14" i="8" s="1"/>
  <c r="J14" i="8"/>
  <c r="Q14" i="8" s="1"/>
  <c r="H14" i="8"/>
  <c r="Q13" i="8"/>
  <c r="O13" i="8"/>
  <c r="M13" i="8"/>
  <c r="L13" i="8"/>
  <c r="K13" i="8"/>
  <c r="J13" i="8"/>
  <c r="H13" i="8"/>
  <c r="S13" i="8" s="1"/>
  <c r="O12" i="8"/>
  <c r="L12" i="8"/>
  <c r="M12" i="8" s="1"/>
  <c r="S12" i="8" s="1"/>
  <c r="K12" i="8"/>
  <c r="J12" i="8"/>
  <c r="Q12" i="8" s="1"/>
  <c r="H12" i="8"/>
  <c r="Q11" i="8"/>
  <c r="O11" i="8"/>
  <c r="L11" i="8"/>
  <c r="K11" i="8"/>
  <c r="M11" i="8" s="1"/>
  <c r="J11" i="8"/>
  <c r="H11" i="8"/>
  <c r="T11" i="8" s="1"/>
  <c r="O10" i="8"/>
  <c r="L10" i="8"/>
  <c r="K10" i="8"/>
  <c r="M10" i="8" s="1"/>
  <c r="S10" i="8" s="1"/>
  <c r="J10" i="8"/>
  <c r="Q10" i="8" s="1"/>
  <c r="H10" i="8"/>
  <c r="S9" i="8"/>
  <c r="Q9" i="8"/>
  <c r="O9" i="8"/>
  <c r="M9" i="8"/>
  <c r="T9" i="8" s="1"/>
  <c r="J9" i="8"/>
  <c r="H9" i="8"/>
  <c r="S7" i="8"/>
  <c r="O7" i="8"/>
  <c r="M7" i="8"/>
  <c r="J7" i="8"/>
  <c r="Q7" i="8" s="1"/>
  <c r="H7" i="8"/>
  <c r="T7" i="8" s="1"/>
  <c r="Q6" i="8"/>
  <c r="O6" i="8"/>
  <c r="L6" i="8"/>
  <c r="K6" i="8"/>
  <c r="M6" i="8" s="1"/>
  <c r="J6" i="8"/>
  <c r="H6" i="8"/>
  <c r="O5" i="8"/>
  <c r="L5" i="8"/>
  <c r="K5" i="8"/>
  <c r="M5" i="8" s="1"/>
  <c r="S5" i="8" s="1"/>
  <c r="J5" i="8"/>
  <c r="Q5" i="8" s="1"/>
  <c r="H5" i="8"/>
  <c r="T5" i="8" s="1"/>
  <c r="Q4" i="8"/>
  <c r="O4" i="8"/>
  <c r="M4" i="8"/>
  <c r="L4" i="8"/>
  <c r="K4" i="8"/>
  <c r="J4" i="8"/>
  <c r="H4" i="8"/>
  <c r="S4" i="8" s="1"/>
  <c r="O3" i="8"/>
  <c r="L3" i="8"/>
  <c r="M3" i="8" s="1"/>
  <c r="S3" i="8" s="1"/>
  <c r="K3" i="8"/>
  <c r="J3" i="8"/>
  <c r="Q3" i="8" s="1"/>
  <c r="H3" i="8"/>
  <c r="L29" i="7"/>
  <c r="L18" i="7"/>
  <c r="K18" i="7"/>
  <c r="K17" i="7"/>
  <c r="L17" i="7"/>
  <c r="L14" i="7"/>
  <c r="K14" i="7"/>
  <c r="L15" i="7"/>
  <c r="M15" i="7" s="1"/>
  <c r="K15" i="7"/>
  <c r="L16" i="7"/>
  <c r="K16" i="7"/>
  <c r="L52" i="7"/>
  <c r="K52" i="7"/>
  <c r="L62" i="7"/>
  <c r="L60" i="7"/>
  <c r="K62" i="7"/>
  <c r="K60" i="7"/>
  <c r="G59" i="7"/>
  <c r="L63" i="7"/>
  <c r="K63" i="7"/>
  <c r="L61" i="7"/>
  <c r="K61" i="7"/>
  <c r="G24" i="7"/>
  <c r="O10" i="7"/>
  <c r="O9" i="7"/>
  <c r="K7" i="7"/>
  <c r="L7" i="7"/>
  <c r="K10" i="7"/>
  <c r="L10" i="7"/>
  <c r="K9" i="7"/>
  <c r="L9" i="7"/>
  <c r="L8" i="7"/>
  <c r="K8" i="7"/>
  <c r="G50" i="7"/>
  <c r="G60" i="7"/>
  <c r="G62" i="7"/>
  <c r="G61" i="7"/>
  <c r="G63" i="7"/>
  <c r="K47" i="7"/>
  <c r="F47" i="7"/>
  <c r="H23" i="6"/>
  <c r="I23" i="6" s="1"/>
  <c r="J23" i="6" s="1"/>
  <c r="H22" i="6"/>
  <c r="I22" i="6" s="1"/>
  <c r="J22" i="6" s="1"/>
  <c r="G39" i="7"/>
  <c r="G42" i="7"/>
  <c r="G40" i="7"/>
  <c r="H81" i="6"/>
  <c r="I81" i="6" s="1"/>
  <c r="J81" i="6" s="1"/>
  <c r="H83" i="6"/>
  <c r="I83" i="6" s="1"/>
  <c r="J83" i="6" s="1"/>
  <c r="G37" i="7"/>
  <c r="G38" i="7"/>
  <c r="G41" i="7"/>
  <c r="H27" i="6"/>
  <c r="I27" i="6" s="1"/>
  <c r="J27" i="6" s="1"/>
  <c r="H30" i="6"/>
  <c r="I30" i="6" s="1"/>
  <c r="J30" i="6" s="1"/>
  <c r="H26" i="6"/>
  <c r="I26" i="6" s="1"/>
  <c r="J26" i="6" s="1"/>
  <c r="G53" i="7"/>
  <c r="G28" i="7"/>
  <c r="G33" i="7"/>
  <c r="G31" i="7"/>
  <c r="G32" i="7"/>
  <c r="G29" i="7"/>
  <c r="G30" i="7"/>
  <c r="F30" i="7"/>
  <c r="G22" i="7"/>
  <c r="G23" i="7"/>
  <c r="H73" i="6"/>
  <c r="I73" i="6" s="1"/>
  <c r="J73" i="6" s="1"/>
  <c r="T73" i="6"/>
  <c r="H71" i="6"/>
  <c r="I71" i="6" s="1"/>
  <c r="J71" i="6" s="1"/>
  <c r="T71" i="6"/>
  <c r="H74" i="6"/>
  <c r="I74" i="6" s="1"/>
  <c r="J74" i="6" s="1"/>
  <c r="T74" i="6"/>
  <c r="H72" i="6"/>
  <c r="I72" i="6" s="1"/>
  <c r="J72" i="6" s="1"/>
  <c r="T72" i="6"/>
  <c r="H75" i="6"/>
  <c r="I75" i="6" s="1"/>
  <c r="J75" i="6" s="1"/>
  <c r="T75" i="6"/>
  <c r="H77" i="6"/>
  <c r="I77" i="6" s="1"/>
  <c r="J77" i="6" s="1"/>
  <c r="T77" i="6"/>
  <c r="T67" i="6"/>
  <c r="H65" i="6"/>
  <c r="I65" i="6" s="1"/>
  <c r="J65" i="6" s="1"/>
  <c r="T65" i="6"/>
  <c r="T66" i="6"/>
  <c r="T57" i="6"/>
  <c r="T55" i="6"/>
  <c r="T58" i="6"/>
  <c r="T45" i="6"/>
  <c r="M47" i="6"/>
  <c r="T47" i="6"/>
  <c r="T48" i="6"/>
  <c r="T49" i="6"/>
  <c r="H50" i="6"/>
  <c r="I50" i="6" s="1"/>
  <c r="J50" i="6" s="1"/>
  <c r="M50" i="6"/>
  <c r="T50" i="6"/>
  <c r="M39" i="6"/>
  <c r="T39" i="6"/>
  <c r="H42" i="6"/>
  <c r="I42" i="6" s="1"/>
  <c r="J42" i="6" s="1"/>
  <c r="M42" i="6"/>
  <c r="T42" i="6"/>
  <c r="M36" i="6"/>
  <c r="T36" i="6"/>
  <c r="H37" i="6"/>
  <c r="I37" i="6" s="1"/>
  <c r="J37" i="6" s="1"/>
  <c r="T37" i="6"/>
  <c r="T41" i="6"/>
  <c r="T34" i="6"/>
  <c r="T40" i="6"/>
  <c r="H35" i="6"/>
  <c r="I35" i="6" s="1"/>
  <c r="J35" i="6" s="1"/>
  <c r="M35" i="6"/>
  <c r="T35" i="6"/>
  <c r="T30" i="6"/>
  <c r="T27" i="6"/>
  <c r="M29" i="6"/>
  <c r="T29" i="6"/>
  <c r="M28" i="6"/>
  <c r="T28" i="6"/>
  <c r="M31" i="6"/>
  <c r="T31" i="6"/>
  <c r="T23" i="6"/>
  <c r="H61" i="7"/>
  <c r="M61" i="7"/>
  <c r="O61" i="7"/>
  <c r="Q61" i="7" s="1"/>
  <c r="H63" i="7"/>
  <c r="M63" i="7"/>
  <c r="O63" i="7"/>
  <c r="Q63" i="7" s="1"/>
  <c r="H59" i="7"/>
  <c r="M59" i="7"/>
  <c r="O59" i="7"/>
  <c r="Q59" i="7" s="1"/>
  <c r="H58" i="7"/>
  <c r="T58" i="7" s="1"/>
  <c r="M58" i="7"/>
  <c r="O58" i="7"/>
  <c r="Q58" i="7" s="1"/>
  <c r="H60" i="7"/>
  <c r="O60" i="7"/>
  <c r="Q60" i="7" s="1"/>
  <c r="H57" i="7"/>
  <c r="M57" i="7"/>
  <c r="O57" i="7"/>
  <c r="Q57" i="7" s="1"/>
  <c r="H56" i="7"/>
  <c r="M56" i="7"/>
  <c r="O56" i="7"/>
  <c r="Q56" i="7" s="1"/>
  <c r="H64" i="7"/>
  <c r="M64" i="7"/>
  <c r="O64" i="7"/>
  <c r="Q64" i="7"/>
  <c r="T64" i="7"/>
  <c r="H53" i="7"/>
  <c r="M53" i="7"/>
  <c r="O53" i="7"/>
  <c r="Q53" i="7"/>
  <c r="H54" i="7"/>
  <c r="M54" i="7"/>
  <c r="O54" i="7"/>
  <c r="Q54" i="7" s="1"/>
  <c r="T54" i="7"/>
  <c r="H51" i="7"/>
  <c r="M51" i="7"/>
  <c r="O51" i="7"/>
  <c r="Q51" i="7"/>
  <c r="H52" i="7"/>
  <c r="M52" i="7"/>
  <c r="O52" i="7"/>
  <c r="Q52" i="7" s="1"/>
  <c r="H47" i="7"/>
  <c r="M47" i="7"/>
  <c r="O47" i="7"/>
  <c r="Q47" i="7" s="1"/>
  <c r="H48" i="7"/>
  <c r="M48" i="7"/>
  <c r="T48" i="7" s="1"/>
  <c r="O48" i="7"/>
  <c r="Q48" i="7" s="1"/>
  <c r="H38" i="7"/>
  <c r="M38" i="7"/>
  <c r="O38" i="7"/>
  <c r="Q38" i="7" s="1"/>
  <c r="H40" i="7"/>
  <c r="M40" i="7"/>
  <c r="O40" i="7"/>
  <c r="Q40" i="7" s="1"/>
  <c r="H37" i="7"/>
  <c r="M37" i="7"/>
  <c r="O37" i="7"/>
  <c r="Q37" i="7" s="1"/>
  <c r="H43" i="7"/>
  <c r="M43" i="7"/>
  <c r="O43" i="7"/>
  <c r="Q43" i="7" s="1"/>
  <c r="H42" i="7"/>
  <c r="M42" i="7"/>
  <c r="O42" i="7"/>
  <c r="Q42" i="7" s="1"/>
  <c r="H39" i="7"/>
  <c r="M39" i="7"/>
  <c r="O39" i="7"/>
  <c r="Q39" i="7" s="1"/>
  <c r="H44" i="7"/>
  <c r="M44" i="7"/>
  <c r="O44" i="7"/>
  <c r="Q44" i="7" s="1"/>
  <c r="H26" i="7"/>
  <c r="J26" i="7"/>
  <c r="M26" i="7"/>
  <c r="O26" i="7"/>
  <c r="S26" i="7"/>
  <c r="H35" i="7"/>
  <c r="M35" i="7"/>
  <c r="O35" i="7"/>
  <c r="Q35" i="7" s="1"/>
  <c r="S35" i="7"/>
  <c r="H33" i="7"/>
  <c r="M33" i="7"/>
  <c r="O33" i="7"/>
  <c r="Q33" i="7" s="1"/>
  <c r="S33" i="7"/>
  <c r="H32" i="7"/>
  <c r="M32" i="7"/>
  <c r="O32" i="7"/>
  <c r="Q32" i="7" s="1"/>
  <c r="H29" i="7"/>
  <c r="M29" i="7"/>
  <c r="O29" i="7"/>
  <c r="Q29" i="7" s="1"/>
  <c r="S29" i="7"/>
  <c r="H31" i="7"/>
  <c r="M31" i="7"/>
  <c r="O31" i="7"/>
  <c r="Q31" i="7" s="1"/>
  <c r="H30" i="7"/>
  <c r="M30" i="7"/>
  <c r="O30" i="7"/>
  <c r="Q30" i="7" s="1"/>
  <c r="S30" i="7"/>
  <c r="H34" i="7"/>
  <c r="M34" i="7"/>
  <c r="O34" i="7"/>
  <c r="Q34" i="7" s="1"/>
  <c r="S34" i="7"/>
  <c r="H21" i="7"/>
  <c r="J21" i="7"/>
  <c r="M21" i="7"/>
  <c r="O21" i="7"/>
  <c r="S21" i="7"/>
  <c r="H22" i="7"/>
  <c r="J22" i="7"/>
  <c r="M22" i="7"/>
  <c r="O22" i="7"/>
  <c r="S22" i="7"/>
  <c r="H25" i="7"/>
  <c r="J25" i="7"/>
  <c r="M25" i="7"/>
  <c r="O25" i="7"/>
  <c r="S25" i="7"/>
  <c r="H24" i="7"/>
  <c r="J24" i="7"/>
  <c r="M24" i="7"/>
  <c r="O24" i="7"/>
  <c r="S24" i="7"/>
  <c r="H16" i="7"/>
  <c r="J16" i="7"/>
  <c r="M16" i="7"/>
  <c r="O16" i="7"/>
  <c r="S16" i="7"/>
  <c r="H15" i="7"/>
  <c r="J15" i="7"/>
  <c r="O15" i="7"/>
  <c r="S15" i="7"/>
  <c r="H14" i="7"/>
  <c r="J14" i="7"/>
  <c r="M14" i="7"/>
  <c r="O14" i="7"/>
  <c r="S14" i="7"/>
  <c r="H17" i="7"/>
  <c r="J17" i="7"/>
  <c r="M17" i="7"/>
  <c r="O17" i="7"/>
  <c r="S17" i="7"/>
  <c r="H18" i="7"/>
  <c r="J18" i="7"/>
  <c r="M18" i="7"/>
  <c r="O18" i="7"/>
  <c r="H19" i="7"/>
  <c r="J19" i="7"/>
  <c r="M19" i="7"/>
  <c r="O19" i="7"/>
  <c r="S19" i="7"/>
  <c r="O62" i="7"/>
  <c r="Q62" i="7" s="1"/>
  <c r="M62" i="7"/>
  <c r="H62" i="7"/>
  <c r="O50" i="7"/>
  <c r="Q50" i="7" s="1"/>
  <c r="M50" i="7"/>
  <c r="H50" i="7"/>
  <c r="O46" i="7"/>
  <c r="Q46" i="7" s="1"/>
  <c r="M46" i="7"/>
  <c r="H46" i="7"/>
  <c r="M46" i="6"/>
  <c r="S13" i="7"/>
  <c r="H7" i="7"/>
  <c r="J7" i="7"/>
  <c r="M7" i="7"/>
  <c r="O7" i="7"/>
  <c r="H11" i="7"/>
  <c r="J11" i="7"/>
  <c r="M11" i="7"/>
  <c r="O11" i="7"/>
  <c r="T81" i="6"/>
  <c r="T83" i="6"/>
  <c r="T82" i="6"/>
  <c r="T80" i="6"/>
  <c r="T6" i="6"/>
  <c r="H7" i="6"/>
  <c r="I7" i="6" s="1"/>
  <c r="J7" i="6" s="1"/>
  <c r="T7" i="6"/>
  <c r="O28" i="7"/>
  <c r="M28" i="7"/>
  <c r="H28" i="7"/>
  <c r="O13" i="7"/>
  <c r="M13" i="7"/>
  <c r="J13" i="7"/>
  <c r="H13" i="7"/>
  <c r="T22" i="6"/>
  <c r="T38" i="6"/>
  <c r="O8" i="7"/>
  <c r="M8" i="7"/>
  <c r="J8" i="7"/>
  <c r="T26" i="6"/>
  <c r="O41" i="7"/>
  <c r="M41" i="7"/>
  <c r="H41" i="7"/>
  <c r="O23" i="7"/>
  <c r="M23" i="7"/>
  <c r="J23" i="7"/>
  <c r="H23" i="7"/>
  <c r="M9" i="7"/>
  <c r="J9" i="7"/>
  <c r="H9" i="7"/>
  <c r="H8" i="7"/>
  <c r="S8" i="7" s="1"/>
  <c r="M10" i="7"/>
  <c r="J10" i="7"/>
  <c r="H10" i="7"/>
  <c r="S10" i="7" s="1"/>
  <c r="Q3" i="7"/>
  <c r="H76" i="6"/>
  <c r="I76" i="6" s="1"/>
  <c r="J76" i="6" s="1"/>
  <c r="T76" i="6"/>
  <c r="T56" i="6"/>
  <c r="T46" i="6"/>
  <c r="P3" i="6"/>
  <c r="M34" i="6" l="1"/>
  <c r="M37" i="6" s="1"/>
  <c r="M49" i="6"/>
  <c r="M40" i="6"/>
  <c r="M38" i="6"/>
  <c r="M45" i="6"/>
  <c r="P15" i="6"/>
  <c r="P21" i="6"/>
  <c r="P14" i="6"/>
  <c r="P13" i="6"/>
  <c r="H55" i="6"/>
  <c r="I55" i="6" s="1"/>
  <c r="J55" i="6" s="1"/>
  <c r="H58" i="6"/>
  <c r="I58" i="6" s="1"/>
  <c r="J58" i="6" s="1"/>
  <c r="P58" i="6" s="1"/>
  <c r="H40" i="6"/>
  <c r="I40" i="6" s="1"/>
  <c r="J40" i="6" s="1"/>
  <c r="H47" i="6"/>
  <c r="I47" i="6" s="1"/>
  <c r="J47" i="6" s="1"/>
  <c r="P47" i="6" s="1"/>
  <c r="H29" i="6"/>
  <c r="I29" i="6" s="1"/>
  <c r="J29" i="6" s="1"/>
  <c r="P29" i="6" s="1"/>
  <c r="H80" i="6"/>
  <c r="I80" i="6" s="1"/>
  <c r="J80" i="6" s="1"/>
  <c r="P80" i="6" s="1"/>
  <c r="P20" i="6"/>
  <c r="P18" i="6"/>
  <c r="P19" i="6"/>
  <c r="H31" i="6"/>
  <c r="I31" i="6" s="1"/>
  <c r="J31" i="6" s="1"/>
  <c r="P31" i="6" s="1"/>
  <c r="H82" i="6"/>
  <c r="I82" i="6" s="1"/>
  <c r="J82" i="6" s="1"/>
  <c r="P82" i="6" s="1"/>
  <c r="H41" i="6"/>
  <c r="I41" i="6" s="1"/>
  <c r="J41" i="6" s="1"/>
  <c r="H34" i="6"/>
  <c r="I34" i="6" s="1"/>
  <c r="J34" i="6" s="1"/>
  <c r="P34" i="6" s="1"/>
  <c r="H39" i="6"/>
  <c r="I39" i="6" s="1"/>
  <c r="J39" i="6" s="1"/>
  <c r="P39" i="6" s="1"/>
  <c r="H6" i="6"/>
  <c r="I6" i="6" s="1"/>
  <c r="J6" i="6" s="1"/>
  <c r="P6" i="6" s="1"/>
  <c r="H66" i="6"/>
  <c r="I66" i="6" s="1"/>
  <c r="H36" i="6"/>
  <c r="I36" i="6" s="1"/>
  <c r="J36" i="6" s="1"/>
  <c r="P36" i="6" s="1"/>
  <c r="H67" i="6"/>
  <c r="I67" i="6" s="1"/>
  <c r="H8" i="6"/>
  <c r="I8" i="6" s="1"/>
  <c r="J8" i="6" s="1"/>
  <c r="P8" i="6" s="1"/>
  <c r="H9" i="6"/>
  <c r="I9" i="6" s="1"/>
  <c r="J9" i="6" s="1"/>
  <c r="P9" i="6" s="1"/>
  <c r="H10" i="6"/>
  <c r="I10" i="6" s="1"/>
  <c r="J10" i="6" s="1"/>
  <c r="P10" i="6" s="1"/>
  <c r="H11" i="6"/>
  <c r="I11" i="6" s="1"/>
  <c r="J11" i="6" s="1"/>
  <c r="P11" i="6" s="1"/>
  <c r="H12" i="6"/>
  <c r="I12" i="6" s="1"/>
  <c r="J12" i="6" s="1"/>
  <c r="P12" i="6" s="1"/>
  <c r="H46" i="6"/>
  <c r="I46" i="6" s="1"/>
  <c r="J46" i="6" s="1"/>
  <c r="P46" i="6" s="1"/>
  <c r="H49" i="6"/>
  <c r="I49" i="6" s="1"/>
  <c r="J49" i="6" s="1"/>
  <c r="P49" i="6" s="1"/>
  <c r="H57" i="6"/>
  <c r="I57" i="6" s="1"/>
  <c r="J57" i="6" s="1"/>
  <c r="P57" i="6" s="1"/>
  <c r="H38" i="6"/>
  <c r="I38" i="6" s="1"/>
  <c r="J38" i="6" s="1"/>
  <c r="H45" i="6"/>
  <c r="I45" i="6" s="1"/>
  <c r="J45" i="6" s="1"/>
  <c r="P45" i="6" s="1"/>
  <c r="H28" i="6"/>
  <c r="I28" i="6" s="1"/>
  <c r="J28" i="6" s="1"/>
  <c r="P28" i="6" s="1"/>
  <c r="O75" i="9"/>
  <c r="O77" i="9"/>
  <c r="H10" i="9"/>
  <c r="I10" i="9" s="1"/>
  <c r="O10" i="9" s="1"/>
  <c r="H11" i="9"/>
  <c r="I11" i="9" s="1"/>
  <c r="O11" i="9" s="1"/>
  <c r="H12" i="9"/>
  <c r="I12" i="9" s="1"/>
  <c r="O12" i="9" s="1"/>
  <c r="H13" i="9"/>
  <c r="I13" i="9" s="1"/>
  <c r="O13" i="9" s="1"/>
  <c r="H14" i="9"/>
  <c r="I14" i="9" s="1"/>
  <c r="O14" i="9" s="1"/>
  <c r="H15" i="9"/>
  <c r="I15" i="9" s="1"/>
  <c r="O15" i="9" s="1"/>
  <c r="H16" i="9"/>
  <c r="I16" i="9" s="1"/>
  <c r="O16" i="9" s="1"/>
  <c r="H50" i="9"/>
  <c r="I50" i="9" s="1"/>
  <c r="O50" i="9" s="1"/>
  <c r="H51" i="9"/>
  <c r="I51" i="9" s="1"/>
  <c r="O51" i="9" s="1"/>
  <c r="H52" i="9"/>
  <c r="I52" i="9" s="1"/>
  <c r="O52" i="9" s="1"/>
  <c r="H53" i="9"/>
  <c r="I53" i="9" s="1"/>
  <c r="O53" i="9" s="1"/>
  <c r="H54" i="9"/>
  <c r="I54" i="9" s="1"/>
  <c r="O54" i="9" s="1"/>
  <c r="H63" i="9"/>
  <c r="I63" i="9" s="1"/>
  <c r="O63" i="9" s="1"/>
  <c r="H64" i="9"/>
  <c r="I64" i="9" s="1"/>
  <c r="O64" i="9" s="1"/>
  <c r="H66" i="9"/>
  <c r="I66" i="9" s="1"/>
  <c r="O66" i="9" s="1"/>
  <c r="H69" i="9"/>
  <c r="I69" i="9" s="1"/>
  <c r="O69" i="9" s="1"/>
  <c r="H27" i="9"/>
  <c r="I27" i="9" s="1"/>
  <c r="O27" i="9" s="1"/>
  <c r="H83" i="9"/>
  <c r="I83" i="9" s="1"/>
  <c r="O83" i="9" s="1"/>
  <c r="H84" i="9"/>
  <c r="I84" i="9" s="1"/>
  <c r="O84" i="9" s="1"/>
  <c r="H6" i="9"/>
  <c r="I6" i="9" s="1"/>
  <c r="O6" i="9" s="1"/>
  <c r="H7" i="9"/>
  <c r="I7" i="9" s="1"/>
  <c r="O7" i="9" s="1"/>
  <c r="H81" i="9"/>
  <c r="I81" i="9" s="1"/>
  <c r="O81" i="9" s="1"/>
  <c r="T6" i="8"/>
  <c r="T12" i="8"/>
  <c r="T14" i="8"/>
  <c r="S24" i="8"/>
  <c r="T24" i="8"/>
  <c r="T56" i="8"/>
  <c r="T3" i="8"/>
  <c r="T10" i="8"/>
  <c r="T48" i="8"/>
  <c r="T57" i="8"/>
  <c r="T18" i="8"/>
  <c r="S18" i="8"/>
  <c r="T19" i="8"/>
  <c r="S19" i="8"/>
  <c r="T20" i="8"/>
  <c r="S20" i="8"/>
  <c r="S26" i="8"/>
  <c r="T26" i="8"/>
  <c r="S6" i="8"/>
  <c r="S11" i="8"/>
  <c r="S21" i="8"/>
  <c r="T4" i="8"/>
  <c r="T13" i="8"/>
  <c r="T52" i="7"/>
  <c r="T61" i="7"/>
  <c r="M60" i="7"/>
  <c r="T60" i="7" s="1"/>
  <c r="T56" i="7"/>
  <c r="T57" i="7"/>
  <c r="T59" i="7"/>
  <c r="T63" i="7"/>
  <c r="T47" i="7"/>
  <c r="T53" i="7"/>
  <c r="T51" i="7"/>
  <c r="H48" i="6"/>
  <c r="P74" i="6"/>
  <c r="P75" i="6"/>
  <c r="P73" i="6"/>
  <c r="P72" i="6"/>
  <c r="P77" i="6"/>
  <c r="P71" i="6"/>
  <c r="P65" i="6"/>
  <c r="P50" i="6"/>
  <c r="P37" i="6"/>
  <c r="P42" i="6"/>
  <c r="P35" i="6"/>
  <c r="P23" i="6"/>
  <c r="T26" i="7"/>
  <c r="T44" i="7"/>
  <c r="T42" i="7"/>
  <c r="T40" i="7"/>
  <c r="T39" i="7"/>
  <c r="T35" i="7"/>
  <c r="T43" i="7"/>
  <c r="T37" i="7"/>
  <c r="T38" i="7"/>
  <c r="T32" i="7"/>
  <c r="T33" i="7"/>
  <c r="T21" i="7"/>
  <c r="T31" i="7"/>
  <c r="Q26" i="7"/>
  <c r="T34" i="7"/>
  <c r="T30" i="7"/>
  <c r="Q18" i="7"/>
  <c r="T24" i="7"/>
  <c r="T29" i="7"/>
  <c r="Q15" i="7"/>
  <c r="T25" i="7"/>
  <c r="Q22" i="7"/>
  <c r="Q21" i="7"/>
  <c r="T50" i="7"/>
  <c r="T15" i="7"/>
  <c r="T18" i="7"/>
  <c r="T16" i="7"/>
  <c r="T62" i="7"/>
  <c r="T17" i="7"/>
  <c r="Q14" i="7"/>
  <c r="Q19" i="7"/>
  <c r="Q24" i="7"/>
  <c r="T22" i="7"/>
  <c r="Q25" i="7"/>
  <c r="Q11" i="7"/>
  <c r="Q17" i="7"/>
  <c r="T14" i="7"/>
  <c r="Q16" i="7"/>
  <c r="T19" i="7"/>
  <c r="T46" i="7"/>
  <c r="Q7" i="7"/>
  <c r="S9" i="7"/>
  <c r="S11" i="7"/>
  <c r="T7" i="7"/>
  <c r="S7" i="7"/>
  <c r="T11" i="7"/>
  <c r="P81" i="6"/>
  <c r="T10" i="7"/>
  <c r="T28" i="7"/>
  <c r="Q28" i="7"/>
  <c r="P83" i="6"/>
  <c r="H56" i="6"/>
  <c r="P7" i="6"/>
  <c r="Q9" i="7"/>
  <c r="Q10" i="7"/>
  <c r="T9" i="7"/>
  <c r="T23" i="7"/>
  <c r="T41" i="7"/>
  <c r="Q8" i="7"/>
  <c r="S28" i="7"/>
  <c r="Q23" i="7"/>
  <c r="Q41" i="7"/>
  <c r="T13" i="7"/>
  <c r="Q13" i="7"/>
  <c r="S23" i="7"/>
  <c r="T8" i="7"/>
  <c r="P26" i="6"/>
  <c r="P76" i="6"/>
  <c r="J66" i="6" l="1"/>
  <c r="P66" i="6" s="1"/>
  <c r="P67" i="6"/>
  <c r="J67" i="6"/>
  <c r="M48" i="6"/>
  <c r="P40" i="6"/>
  <c r="M41" i="6"/>
  <c r="P38" i="6"/>
  <c r="I56" i="6"/>
  <c r="J56" i="6" s="1"/>
  <c r="P56" i="6" s="1"/>
  <c r="I48" i="6"/>
  <c r="J48" i="6" s="1"/>
  <c r="M30" i="6"/>
  <c r="P30" i="6" s="1"/>
  <c r="M27" i="6"/>
  <c r="P55" i="6"/>
  <c r="P48" i="6" l="1"/>
  <c r="P27" i="6"/>
  <c r="P41" i="6"/>
</calcChain>
</file>

<file path=xl/sharedStrings.xml><?xml version="1.0" encoding="utf-8"?>
<sst xmlns="http://schemas.openxmlformats.org/spreadsheetml/2006/main" count="817" uniqueCount="333">
  <si>
    <t>Horse</t>
  </si>
  <si>
    <t>CL Judge</t>
  </si>
  <si>
    <t>SL Judge</t>
  </si>
  <si>
    <t>Points</t>
  </si>
  <si>
    <t>Event Placing</t>
  </si>
  <si>
    <t>Club</t>
  </si>
  <si>
    <t>Mudgeeraba</t>
  </si>
  <si>
    <t>Nerang</t>
  </si>
  <si>
    <t>Southport</t>
  </si>
  <si>
    <t>Tallebudgera</t>
  </si>
  <si>
    <t>DRESSAGE</t>
  </si>
  <si>
    <t>SHOW JUMPING</t>
  </si>
  <si>
    <t>State Qualify</t>
  </si>
  <si>
    <t>Back No.</t>
  </si>
  <si>
    <t>Name</t>
  </si>
  <si>
    <t>Card No</t>
  </si>
  <si>
    <t>Jump Fault</t>
  </si>
  <si>
    <t>Time Fault</t>
  </si>
  <si>
    <t>Total Fault</t>
  </si>
  <si>
    <t>Jump Time</t>
  </si>
  <si>
    <t>Total Score</t>
  </si>
  <si>
    <t>Place</t>
  </si>
  <si>
    <t>Team Points</t>
  </si>
  <si>
    <t>Max Dress Test</t>
  </si>
  <si>
    <t>E</t>
  </si>
  <si>
    <t>Penalty</t>
  </si>
  <si>
    <t>Max Time</t>
  </si>
  <si>
    <t>ROUND 1</t>
  </si>
  <si>
    <t>Average Score Round 1</t>
  </si>
  <si>
    <t>Rnd 1 Place</t>
  </si>
  <si>
    <t>ROUND 2</t>
  </si>
  <si>
    <t>Average Score Round 2</t>
  </si>
  <si>
    <t>Event Points</t>
  </si>
  <si>
    <t>C/ship Average countback</t>
  </si>
  <si>
    <t>Rnd 1 no task</t>
  </si>
  <si>
    <t>Rnd 2 &amp; task</t>
  </si>
  <si>
    <t>Back</t>
  </si>
  <si>
    <t>RIDER</t>
  </si>
  <si>
    <t>HORSE</t>
  </si>
  <si>
    <t>CLUB</t>
  </si>
  <si>
    <t>Judge 1</t>
  </si>
  <si>
    <t>Judge 2</t>
  </si>
  <si>
    <t>CLASS 1</t>
  </si>
  <si>
    <t>CLASS 2</t>
  </si>
  <si>
    <t>CLASS 7</t>
  </si>
  <si>
    <t>COMBINED CLASS</t>
  </si>
  <si>
    <t>CLASS 3</t>
  </si>
  <si>
    <t>Katelyn Didlick</t>
  </si>
  <si>
    <t>Sienna Tombs</t>
  </si>
  <si>
    <t>Jimboomba</t>
  </si>
  <si>
    <t>Shani Massignani</t>
  </si>
  <si>
    <t>Bella Kaplan</t>
  </si>
  <si>
    <t>Alaska Carter</t>
  </si>
  <si>
    <t>Ryan Lornie</t>
  </si>
  <si>
    <t>Moonshine</t>
  </si>
  <si>
    <t>James Lornie</t>
  </si>
  <si>
    <t>#</t>
  </si>
  <si>
    <t>Flynders Lane</t>
  </si>
  <si>
    <t xml:space="preserve">Nerang </t>
  </si>
  <si>
    <t>Aggregate</t>
  </si>
  <si>
    <t>No Count back in rounds - place equally.  To tie break overall champion split using average percentage over the rounds.  If still equal go back to highest percentage in the round with the task</t>
  </si>
  <si>
    <t>12 &amp; Under  -  50cm</t>
  </si>
  <si>
    <t>THORNBIRD</t>
  </si>
  <si>
    <t>Lucinda Bennett</t>
  </si>
  <si>
    <t>ROCKET</t>
  </si>
  <si>
    <t>Peisey Lang</t>
  </si>
  <si>
    <t>POPCORN</t>
  </si>
  <si>
    <t>Tamborine </t>
  </si>
  <si>
    <t>Macy Bozicevic</t>
  </si>
  <si>
    <t>CSK TO THE MOON AND BACK</t>
  </si>
  <si>
    <t>12 &amp; Under -  60cm</t>
  </si>
  <si>
    <t>12 &amp; Under - 70cm</t>
  </si>
  <si>
    <t>CLASS 4</t>
  </si>
  <si>
    <t>13&amp;Under 26 - 70cm</t>
  </si>
  <si>
    <t>CLASS 5</t>
  </si>
  <si>
    <t>13&amp;Under 26 - 80cm</t>
  </si>
  <si>
    <t>CLASS 6</t>
  </si>
  <si>
    <t>CLASS 8</t>
  </si>
  <si>
    <t>13&amp;Under 26 - 90cm</t>
  </si>
  <si>
    <t>Seniors - 60cm</t>
  </si>
  <si>
    <t>Unofficial 30cm</t>
  </si>
  <si>
    <t>Elly Teese</t>
  </si>
  <si>
    <t>RIVERDALE DESTINY'S CHILD</t>
  </si>
  <si>
    <t>Indigo Duckworth</t>
  </si>
  <si>
    <t>PADDY (IRISH CREAM)</t>
  </si>
  <si>
    <t>OPTIMUM TIME</t>
  </si>
  <si>
    <t>Nerang </t>
  </si>
  <si>
    <t>Bella Pidd</t>
  </si>
  <si>
    <t>PEPPERCORN PARK MY BLING</t>
  </si>
  <si>
    <t>CHELTRA SHAKESPEARE</t>
  </si>
  <si>
    <t>Eva Strotton</t>
  </si>
  <si>
    <t>RUFFY</t>
  </si>
  <si>
    <t>Tallebudgera </t>
  </si>
  <si>
    <t>Rathdowney</t>
  </si>
  <si>
    <t>NATREME REGAL DREAMER</t>
  </si>
  <si>
    <t>Kiara Cumming</t>
  </si>
  <si>
    <t>MERRILANDS CUSTOM MAID</t>
  </si>
  <si>
    <t>Sofia Brzezinski</t>
  </si>
  <si>
    <t>PANDORA LUCY</t>
  </si>
  <si>
    <t>Mia Brennan</t>
  </si>
  <si>
    <t>ELM TREE MUSIC MAN</t>
  </si>
  <si>
    <t>ANDELAIN SPARTACUS</t>
  </si>
  <si>
    <t>Mudgeeraba </t>
  </si>
  <si>
    <t>Eliesha Saville</t>
  </si>
  <si>
    <t>FLYNDERS LANE</t>
  </si>
  <si>
    <t>OAKFIELD OPHELIA</t>
  </si>
  <si>
    <t>COIN DROP</t>
  </si>
  <si>
    <t>Greenbank </t>
  </si>
  <si>
    <t>GREENBOW</t>
  </si>
  <si>
    <t>Taylor Wildermoth</t>
  </si>
  <si>
    <t>ROULETTE</t>
  </si>
  <si>
    <t>Ila Mcdonald</t>
  </si>
  <si>
    <t>DUDE</t>
  </si>
  <si>
    <t>INDI</t>
  </si>
  <si>
    <t>Tallebuggera </t>
  </si>
  <si>
    <r>
      <t xml:space="preserve">Dione Skelton 70cm </t>
    </r>
    <r>
      <rPr>
        <b/>
        <sz val="10"/>
        <color theme="1"/>
        <rFont val="Helvetica Neue"/>
        <family val="2"/>
      </rPr>
      <t>SNR</t>
    </r>
  </si>
  <si>
    <t>Isabel Nielsen</t>
  </si>
  <si>
    <t>CODE BLUE</t>
  </si>
  <si>
    <t>Phillipa Bennett</t>
  </si>
  <si>
    <t>FINNEGAN</t>
  </si>
  <si>
    <t>CSK WEBS AROUND MY HEART</t>
  </si>
  <si>
    <t>Grace Frawley</t>
  </si>
  <si>
    <t>OAKEY POKEY</t>
  </si>
  <si>
    <t>ZELDA</t>
  </si>
  <si>
    <t>Greta Douglas</t>
  </si>
  <si>
    <t>BELLHAVEN ROXY</t>
  </si>
  <si>
    <t>KTL CIENNA</t>
  </si>
  <si>
    <t>BS GROOVE JET MAGRITTE</t>
  </si>
  <si>
    <t>Hamin michelle Lee</t>
  </si>
  <si>
    <t>GOSSIP GIRL</t>
  </si>
  <si>
    <t>Wynnum</t>
  </si>
  <si>
    <t>DECLARATION</t>
  </si>
  <si>
    <t>Southport </t>
  </si>
  <si>
    <t>KANSAS</t>
  </si>
  <si>
    <t>Rebecca Bates 80cm</t>
  </si>
  <si>
    <t>BATMAN</t>
  </si>
  <si>
    <t>Oxenford </t>
  </si>
  <si>
    <r>
      <t xml:space="preserve">Stacey Small 70cm </t>
    </r>
    <r>
      <rPr>
        <b/>
        <sz val="10"/>
        <color theme="1"/>
        <rFont val="Helvetica Neue"/>
        <family val="2"/>
      </rPr>
      <t>SNR</t>
    </r>
  </si>
  <si>
    <t>Payton Channell</t>
  </si>
  <si>
    <t>ABBEY</t>
  </si>
  <si>
    <t>Lyn Cho</t>
  </si>
  <si>
    <t>QUAMBY PARK STAR SHOW</t>
  </si>
  <si>
    <t>PRIMROSE PARK PLAY WITH PAINT</t>
  </si>
  <si>
    <t>Evie Mcconnell</t>
  </si>
  <si>
    <t>BANKSIA</t>
  </si>
  <si>
    <t>Paeten Bianchi</t>
  </si>
  <si>
    <t>INDIE</t>
  </si>
  <si>
    <t>Indya Cumming</t>
  </si>
  <si>
    <t>BOWMAN PARK LADY LYNX</t>
  </si>
  <si>
    <t>DEEJAY GOLD BY DESIGN</t>
  </si>
  <si>
    <t>Class CT1 10 years&amp;U Test 1.1 &amp; 50cm</t>
  </si>
  <si>
    <t>Class CT2 12&amp;U Test 1.2 &amp; 60cm</t>
  </si>
  <si>
    <t>Class CT4 A2 Test 1.2 &amp; 80cm</t>
  </si>
  <si>
    <t>Class CT9 B3 Test 2.1 95cm</t>
  </si>
  <si>
    <t>Class CT15 Unofficial Any Age Test Prep 1 &amp; 50cm</t>
  </si>
  <si>
    <t>Class CT17 Assisted Prep 1&amp; Poles</t>
  </si>
  <si>
    <t>Ella Papa</t>
  </si>
  <si>
    <t>PT SPIRIT</t>
  </si>
  <si>
    <t>Samford </t>
  </si>
  <si>
    <t>Class CT3/5 A1/A3 Test 1.2 &amp; 60/95cm</t>
  </si>
  <si>
    <t>Annie Horn OTTB</t>
  </si>
  <si>
    <t>TTF LARRY</t>
  </si>
  <si>
    <t>Runcorn </t>
  </si>
  <si>
    <t>Charlotte Papa 95cm</t>
  </si>
  <si>
    <t>RIVER DOWNS BREEZE</t>
  </si>
  <si>
    <t>Samford</t>
  </si>
  <si>
    <t>Mikayla Bartie</t>
  </si>
  <si>
    <t>CINNAMON BUN</t>
  </si>
  <si>
    <t>Tahni Jordan</t>
  </si>
  <si>
    <t>SUNS OUT GUNS OUT</t>
  </si>
  <si>
    <t>Grace Martin</t>
  </si>
  <si>
    <t>LITTLE WILLIAM</t>
  </si>
  <si>
    <t>Charlotte Papa</t>
  </si>
  <si>
    <t>WESTWINDS DIESEL</t>
  </si>
  <si>
    <t>Kate Scott</t>
  </si>
  <si>
    <t>KS MISS CALLI GIRL</t>
  </si>
  <si>
    <t>Sarah Myers</t>
  </si>
  <si>
    <t>GUNSMOKIN SONITA</t>
  </si>
  <si>
    <t>Gatton</t>
  </si>
  <si>
    <t>Greenbank</t>
  </si>
  <si>
    <t xml:space="preserve">Oxenford </t>
  </si>
  <si>
    <t>Class CT8 B2 2.1 &amp; 80cm</t>
  </si>
  <si>
    <t>SUPER DOCS GOLD RUSH</t>
  </si>
  <si>
    <t>NOT A BAD BET</t>
  </si>
  <si>
    <t>Rebecca Humphries</t>
  </si>
  <si>
    <t>RIVER DOWNS MELODY</t>
  </si>
  <si>
    <t>GODS N WARRIORS</t>
  </si>
  <si>
    <t>Mudgeeraba PC</t>
  </si>
  <si>
    <t>TAINOS</t>
  </si>
  <si>
    <t>Hollie Hodges</t>
  </si>
  <si>
    <t>KENDA PARK TOP GUN</t>
  </si>
  <si>
    <t>Escort Dominator</t>
  </si>
  <si>
    <t>BLOOD OF VALYRIA</t>
  </si>
  <si>
    <t>CT11 C1 Test 3.1 &amp; 60cm</t>
  </si>
  <si>
    <t>Class CT13 C3 95cm</t>
  </si>
  <si>
    <t>Drinks on Deco</t>
  </si>
  <si>
    <t>Andrea Carter</t>
  </si>
  <si>
    <t>LADBROOKS MIGUEL</t>
  </si>
  <si>
    <t>RIPPLE BROOK IRONBARK</t>
  </si>
  <si>
    <t>Class CT16 Seniors Test 1.2 &amp; mixed heights</t>
  </si>
  <si>
    <t>Sarah Foster 95cm</t>
  </si>
  <si>
    <t>SCOOBY SNAX</t>
  </si>
  <si>
    <t>MORE THAN SUPERB</t>
  </si>
  <si>
    <t>Ping Jaa 60cm</t>
  </si>
  <si>
    <t>VINTAGE SUN</t>
  </si>
  <si>
    <t>Dione Skelton 60cm</t>
  </si>
  <si>
    <t>Phisachi</t>
  </si>
  <si>
    <t>Sarah Foster 50cm polesa</t>
  </si>
  <si>
    <t>CUBA LIBRE</t>
  </si>
  <si>
    <r>
      <t xml:space="preserve">Rebecca Bates 60cm </t>
    </r>
    <r>
      <rPr>
        <b/>
        <sz val="10"/>
        <color theme="1"/>
        <rFont val="Helvetica Neue"/>
        <family val="2"/>
      </rPr>
      <t>SNR</t>
    </r>
  </si>
  <si>
    <t>Frankie</t>
  </si>
  <si>
    <t>Winnie</t>
  </si>
  <si>
    <t>Ret</t>
  </si>
  <si>
    <t>ROULETTES DARKEST NIGHT</t>
  </si>
  <si>
    <t>Scr</t>
  </si>
  <si>
    <t>33HC</t>
  </si>
  <si>
    <t>TBA</t>
  </si>
  <si>
    <t>Rnd 2 Place</t>
  </si>
  <si>
    <t>scr</t>
  </si>
  <si>
    <t>Sr</t>
  </si>
  <si>
    <t xml:space="preserve">Billie Andrews </t>
  </si>
  <si>
    <t>Lyn Cho HC</t>
  </si>
  <si>
    <r>
      <t xml:space="preserve">Stacey Tann </t>
    </r>
    <r>
      <rPr>
        <b/>
        <u/>
        <sz val="10"/>
        <color rgb="FF000000"/>
        <rFont val="Helvetica Neue"/>
        <family val="2"/>
      </rPr>
      <t>HC</t>
    </r>
  </si>
  <si>
    <t>HC</t>
  </si>
  <si>
    <t>OTTB Kaitlin Bellamy OTTB</t>
  </si>
  <si>
    <t>OTTB Matilda Winn OTTB</t>
  </si>
  <si>
    <t>OTTB Hollie Hodges OTTB</t>
  </si>
  <si>
    <t>OTTB Irish Kerr OTTB</t>
  </si>
  <si>
    <t>OTTB Mitchell West OTTB</t>
  </si>
  <si>
    <t>OTTB Lilly Morrissey OTTB</t>
  </si>
  <si>
    <t>OTTB Charlotte Skelton OTTB</t>
  </si>
  <si>
    <t>OTTB Sophie Greiner OTTB</t>
  </si>
  <si>
    <t>OTTB Greta Douglas OTTB</t>
  </si>
  <si>
    <t>OTTB Alaisdair West OTTB</t>
  </si>
  <si>
    <t>OTTB Alana Perry 80cm OTTB</t>
  </si>
  <si>
    <t>OTTB Isabella Miokovich 80cm OTTB</t>
  </si>
  <si>
    <r>
      <t xml:space="preserve">Eva Strotton </t>
    </r>
    <r>
      <rPr>
        <b/>
        <u/>
        <sz val="10"/>
        <color rgb="FFFF0000"/>
        <rFont val="Helvetica Neue"/>
        <family val="2"/>
      </rPr>
      <t>HC</t>
    </r>
  </si>
  <si>
    <t>Tihana North (HC)</t>
  </si>
  <si>
    <t>Q</t>
  </si>
  <si>
    <r>
      <t xml:space="preserve">OTTB Stacey Small 70cm OTTB </t>
    </r>
    <r>
      <rPr>
        <b/>
        <sz val="10"/>
        <color theme="1"/>
        <rFont val="Helvetica Neue"/>
        <family val="2"/>
      </rPr>
      <t>SNR</t>
    </r>
  </si>
  <si>
    <t>Q1</t>
  </si>
  <si>
    <t>Q2</t>
  </si>
  <si>
    <t>Audrey - may Geraghty</t>
  </si>
  <si>
    <t xml:space="preserve">SERENE VALLEY STORM </t>
  </si>
  <si>
    <t>Oxenford</t>
  </si>
  <si>
    <t>MOONSHINE</t>
  </si>
  <si>
    <t>Blaise Gabriel</t>
  </si>
  <si>
    <t>EVIE</t>
  </si>
  <si>
    <t>Blossom Gambin</t>
  </si>
  <si>
    <t xml:space="preserve">THORNBIRD </t>
  </si>
  <si>
    <t>Nell Davis</t>
  </si>
  <si>
    <t>TANGO DANCER</t>
  </si>
  <si>
    <t>Gumdale</t>
  </si>
  <si>
    <t>Olivia Hanmer</t>
  </si>
  <si>
    <t>HILLSWOOD HOBBIT</t>
  </si>
  <si>
    <t xml:space="preserve">WADELEE CARTIER </t>
  </si>
  <si>
    <t>Amity Broadbent</t>
  </si>
  <si>
    <t>CRESTLINE PRINCE</t>
  </si>
  <si>
    <t>Redlands</t>
  </si>
  <si>
    <t>Olivia Stevenson</t>
  </si>
  <si>
    <t>CHARALOOK AMBASSADOR</t>
  </si>
  <si>
    <t>Maddison Mcluckie</t>
  </si>
  <si>
    <t>BLACK MAGIC SOOTY</t>
  </si>
  <si>
    <t>IRISH CREAM</t>
  </si>
  <si>
    <t>Raven Carter</t>
  </si>
  <si>
    <t>DIAMOND IN THE ROUGH</t>
  </si>
  <si>
    <t>KIRKWOOD MARCUS</t>
  </si>
  <si>
    <t>Liana Flannery</t>
  </si>
  <si>
    <t>ALLABOUT THATBASS</t>
  </si>
  <si>
    <t>Kodi House</t>
  </si>
  <si>
    <t>WISTFUL WONDER (CHEVAL)</t>
  </si>
  <si>
    <t>PICKLES</t>
  </si>
  <si>
    <t>Priya Mohrholz</t>
  </si>
  <si>
    <t>TOKAYLA LODGE VIVASHOUS</t>
  </si>
  <si>
    <t>Tamborine</t>
  </si>
  <si>
    <t>Madison Latcham</t>
  </si>
  <si>
    <t>BELLISTEROS</t>
  </si>
  <si>
    <t>Class CT3/5/6 A1/A3 Test 1.2 &amp; 60/95/105cm</t>
  </si>
  <si>
    <t>NUTMEG</t>
  </si>
  <si>
    <t>Zoe Mohrholz</t>
  </si>
  <si>
    <t xml:space="preserve">IT’S SYLVESTER </t>
  </si>
  <si>
    <t>Angel b Ferguson</t>
  </si>
  <si>
    <t>WYEVALE SHOOTING STAR</t>
  </si>
  <si>
    <t>ALASKA</t>
  </si>
  <si>
    <t>ESSCORT DOMINATOR</t>
  </si>
  <si>
    <t>Sydnie Williams</t>
  </si>
  <si>
    <t>MONARCH 4 GOLD</t>
  </si>
  <si>
    <t>Liliana Knight</t>
  </si>
  <si>
    <t>REMINGTON</t>
  </si>
  <si>
    <t>Kaitlin Bellamy</t>
  </si>
  <si>
    <t>QUINTINA</t>
  </si>
  <si>
    <t>Merryn Jaffers</t>
  </si>
  <si>
    <t>BAGEEL</t>
  </si>
  <si>
    <t>Class CT7/9 B1/B3 Test 2.1 60/95cm</t>
  </si>
  <si>
    <t>RESOLVE C</t>
  </si>
  <si>
    <t>Lilly Morrissey</t>
  </si>
  <si>
    <t xml:space="preserve">LITTLE STUART </t>
  </si>
  <si>
    <t>Kayla Kusturin</t>
  </si>
  <si>
    <t xml:space="preserve">FLORENCE </t>
  </si>
  <si>
    <t>Holly Ranger</t>
  </si>
  <si>
    <t xml:space="preserve">MORE FIERCE </t>
  </si>
  <si>
    <t>DUELL ESSCORT</t>
  </si>
  <si>
    <t xml:space="preserve">GUNSMOKIN SONITA </t>
  </si>
  <si>
    <t>Holly Paul</t>
  </si>
  <si>
    <t>HP RONALD WEASLEY</t>
  </si>
  <si>
    <t>TOMMY</t>
  </si>
  <si>
    <t>Mia Waters</t>
  </si>
  <si>
    <t xml:space="preserve">JAKUTA- JACK </t>
  </si>
  <si>
    <t>Ciara O'carroll</t>
  </si>
  <si>
    <t>MAGIC TOWN</t>
  </si>
  <si>
    <t>Carie Morris</t>
  </si>
  <si>
    <t>TENDO</t>
  </si>
  <si>
    <t>Corrine Haugstetter</t>
  </si>
  <si>
    <t xml:space="preserve">LARUNDEL GLADIATOR </t>
  </si>
  <si>
    <t>Waterford</t>
  </si>
  <si>
    <t>Tracey Winmill</t>
  </si>
  <si>
    <t>GYPSY ASH</t>
  </si>
  <si>
    <t>Alana Perry</t>
  </si>
  <si>
    <t>WILLOWBANK KALEIDOSCOPE</t>
  </si>
  <si>
    <t>Dione Skelton</t>
  </si>
  <si>
    <t>Racheal Milne</t>
  </si>
  <si>
    <t>PRIMROSE PARK PASSION THYME</t>
  </si>
  <si>
    <t>Kelly Tombs</t>
  </si>
  <si>
    <t>WFW ICARUS</t>
  </si>
  <si>
    <t>Billie Collins</t>
  </si>
  <si>
    <t>Harriet</t>
  </si>
  <si>
    <t>Sophia Mckay</t>
  </si>
  <si>
    <t>PATSEY</t>
  </si>
  <si>
    <t>Emma Kilborn</t>
  </si>
  <si>
    <t>LUCY</t>
  </si>
  <si>
    <t>e</t>
  </si>
  <si>
    <t>SCR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</si>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</sst>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/d/yy\ h:mm\ AM/PM"/>
    <numFmt numFmtId="166" formatCode="d/m/yy\ h:mm\ AM/PM"/>
  </numFmts>
  <fonts count="81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color theme="8" tint="-0.249977111117893"/>
      <name val="Arial"/>
      <family val="2"/>
    </font>
    <font>
      <sz val="12"/>
      <color indexed="12"/>
      <name val="Arial"/>
      <family val="2"/>
    </font>
    <font>
      <b/>
      <sz val="12"/>
      <color theme="8" tint="-0.249977111117893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10"/>
      <name val="Arial Narrow"/>
      <family val="2"/>
    </font>
    <font>
      <b/>
      <sz val="18"/>
      <name val="Arial"/>
      <family val="2"/>
    </font>
    <font>
      <b/>
      <sz val="10"/>
      <name val="Calibri"/>
      <family val="2"/>
      <scheme val="minor"/>
    </font>
    <font>
      <sz val="12"/>
      <color rgb="FFFF0000"/>
      <name val="Arial Narrow"/>
      <family val="2"/>
    </font>
    <font>
      <sz val="10"/>
      <color rgb="FF000000"/>
      <name val="Helvetica Neue"/>
      <family val="2"/>
    </font>
    <font>
      <sz val="10"/>
      <color theme="1"/>
      <name val="Helvetica Neue"/>
      <family val="2"/>
    </font>
    <font>
      <b/>
      <sz val="10"/>
      <color theme="1"/>
      <name val="Helvetica Neue"/>
      <family val="2"/>
    </font>
    <font>
      <sz val="12"/>
      <color theme="1"/>
      <name val="Helvetica"/>
      <family val="2"/>
    </font>
    <font>
      <b/>
      <u/>
      <sz val="10"/>
      <color rgb="FF000000"/>
      <name val="Helvetica Neue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Helvetica Neue"/>
      <family val="2"/>
    </font>
    <font>
      <b/>
      <sz val="12"/>
      <color rgb="FFFF0000"/>
      <name val="Arial Narrow"/>
      <family val="2"/>
    </font>
    <font>
      <b/>
      <sz val="14"/>
      <color rgb="FFFF0000"/>
      <name val="Calibri"/>
      <family val="2"/>
      <scheme val="minor"/>
    </font>
    <font>
      <b/>
      <u/>
      <sz val="10"/>
      <color rgb="FFFF0000"/>
      <name val="Helvetica Neue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trike/>
      <sz val="16"/>
      <color rgb="FFFF0000"/>
      <name val="Calibri"/>
      <family val="2"/>
      <scheme val="minor"/>
    </font>
    <font>
      <b/>
      <strike/>
      <sz val="16"/>
      <color rgb="FFFF0000"/>
      <name val="Arial"/>
      <family val="2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Helvetica Neue"/>
      <family val="2"/>
    </font>
    <font>
      <sz val="14"/>
      <name val="Arial Narrow"/>
      <family val="2"/>
    </font>
    <font>
      <sz val="14"/>
      <color indexed="12"/>
      <name val="Arial"/>
      <family val="2"/>
    </font>
    <font>
      <strike/>
      <sz val="14"/>
      <color rgb="FFFF0000"/>
      <name val="Arial"/>
      <family val="2"/>
    </font>
    <font>
      <strike/>
      <sz val="14"/>
      <color rgb="FFFF0000"/>
      <name val="Helvetica Neue"/>
      <family val="2"/>
    </font>
    <font>
      <strike/>
      <sz val="14"/>
      <color rgb="FFFF0000"/>
      <name val="Arial Narrow"/>
      <family val="2"/>
    </font>
    <font>
      <strike/>
      <sz val="14"/>
      <color rgb="FFFF0000"/>
      <name val="Calibri"/>
      <family val="2"/>
      <scheme val="minor"/>
    </font>
    <font>
      <b/>
      <strike/>
      <sz val="14"/>
      <color rgb="FFFF0000"/>
      <name val="Arial"/>
      <family val="2"/>
    </font>
    <font>
      <sz val="14"/>
      <color theme="1"/>
      <name val="Helvetica"/>
      <family val="2"/>
    </font>
    <font>
      <sz val="14"/>
      <name val="Helvetica Neue"/>
      <family val="2"/>
    </font>
    <font>
      <sz val="14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F7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4CD9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3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8" fillId="7" borderId="0" applyNumberFormat="0" applyBorder="0" applyAlignment="0" applyProtection="0"/>
    <xf numFmtId="0" fontId="19" fillId="24" borderId="7" applyNumberFormat="0" applyAlignment="0" applyProtection="0"/>
    <xf numFmtId="0" fontId="20" fillId="25" borderId="8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7" applyNumberFormat="0" applyAlignment="0" applyProtection="0"/>
    <xf numFmtId="0" fontId="27" fillId="0" borderId="12" applyNumberFormat="0" applyFill="0" applyAlignment="0" applyProtection="0"/>
    <xf numFmtId="0" fontId="28" fillId="26" borderId="0" applyNumberFormat="0" applyBorder="0" applyAlignment="0" applyProtection="0"/>
    <xf numFmtId="0" fontId="6" fillId="27" borderId="13" applyNumberFormat="0" applyFont="0" applyAlignment="0" applyProtection="0"/>
    <xf numFmtId="0" fontId="29" fillId="24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6" fillId="0" borderId="0"/>
    <xf numFmtId="9" fontId="40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10" fontId="10" fillId="5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37" fillId="29" borderId="3" xfId="0" applyNumberFormat="1" applyFont="1" applyFill="1" applyBorder="1" applyAlignment="1">
      <alignment horizontal="center" vertical="center"/>
    </xf>
    <xf numFmtId="10" fontId="10" fillId="5" borderId="3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2" fontId="37" fillId="29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28" borderId="4" xfId="0" applyFont="1" applyFill="1" applyBorder="1" applyAlignment="1">
      <alignment horizontal="center" vertical="center"/>
    </xf>
    <xf numFmtId="0" fontId="36" fillId="28" borderId="4" xfId="0" applyFont="1" applyFill="1" applyBorder="1" applyAlignment="1">
      <alignment horizontal="center" vertical="center"/>
    </xf>
    <xf numFmtId="0" fontId="1" fillId="28" borderId="3" xfId="0" applyFont="1" applyFill="1" applyBorder="1" applyAlignment="1">
      <alignment horizontal="center" vertical="center"/>
    </xf>
    <xf numFmtId="0" fontId="1" fillId="28" borderId="2" xfId="0" applyFont="1" applyFill="1" applyBorder="1" applyAlignment="1">
      <alignment horizontal="center" vertical="center"/>
    </xf>
    <xf numFmtId="0" fontId="0" fillId="28" borderId="3" xfId="0" applyFill="1" applyBorder="1" applyAlignment="1">
      <alignment horizontal="center"/>
    </xf>
    <xf numFmtId="0" fontId="1" fillId="28" borderId="1" xfId="0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164" fontId="10" fillId="0" borderId="4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2" fillId="28" borderId="4" xfId="0" applyFont="1" applyFill="1" applyBorder="1"/>
    <xf numFmtId="0" fontId="4" fillId="0" borderId="6" xfId="0" applyFont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/>
    </xf>
    <xf numFmtId="0" fontId="14" fillId="2" borderId="17" xfId="1" applyFont="1" applyFill="1" applyBorder="1" applyAlignment="1">
      <alignment horizontal="left"/>
    </xf>
    <xf numFmtId="0" fontId="14" fillId="2" borderId="19" xfId="1" applyFont="1" applyFill="1" applyBorder="1" applyAlignment="1">
      <alignment horizontal="center"/>
    </xf>
    <xf numFmtId="0" fontId="14" fillId="2" borderId="18" xfId="1" applyFont="1" applyFill="1" applyBorder="1" applyAlignment="1">
      <alignment horizontal="left"/>
    </xf>
    <xf numFmtId="164" fontId="9" fillId="5" borderId="4" xfId="0" applyNumberFormat="1" applyFont="1" applyFill="1" applyBorder="1" applyAlignment="1">
      <alignment horizontal="center" vertical="center"/>
    </xf>
    <xf numFmtId="165" fontId="41" fillId="0" borderId="21" xfId="0" quotePrefix="1" applyNumberFormat="1" applyFont="1" applyBorder="1" applyAlignment="1">
      <alignment horizontal="center" vertical="center"/>
    </xf>
    <xf numFmtId="166" fontId="41" fillId="0" borderId="21" xfId="0" quotePrefix="1" applyNumberFormat="1" applyFont="1" applyBorder="1" applyAlignment="1">
      <alignment vertical="center"/>
    </xf>
    <xf numFmtId="165" fontId="41" fillId="0" borderId="0" xfId="0" quotePrefix="1" applyNumberFormat="1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2" fillId="0" borderId="0" xfId="0" applyFont="1" applyAlignment="1" applyProtection="1">
      <alignment horizontal="left"/>
      <protection locked="0"/>
    </xf>
    <xf numFmtId="0" fontId="8" fillId="3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/>
    </xf>
    <xf numFmtId="0" fontId="7" fillId="28" borderId="1" xfId="0" applyFont="1" applyFill="1" applyBorder="1" applyAlignment="1" applyProtection="1">
      <alignment horizontal="center"/>
      <protection locked="0"/>
    </xf>
    <xf numFmtId="0" fontId="7" fillId="28" borderId="3" xfId="0" quotePrefix="1" applyFont="1" applyFill="1" applyBorder="1" applyAlignment="1" applyProtection="1">
      <alignment horizontal="left"/>
      <protection locked="0"/>
    </xf>
    <xf numFmtId="0" fontId="7" fillId="28" borderId="4" xfId="0" applyFont="1" applyFill="1" applyBorder="1" applyAlignment="1">
      <alignment vertical="center"/>
    </xf>
    <xf numFmtId="2" fontId="9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10" fontId="10" fillId="0" borderId="5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10" fillId="0" borderId="25" xfId="44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/>
    </xf>
    <xf numFmtId="0" fontId="14" fillId="2" borderId="16" xfId="1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164" fontId="1" fillId="28" borderId="1" xfId="0" applyNumberFormat="1" applyFont="1" applyFill="1" applyBorder="1" applyAlignment="1">
      <alignment horizontal="center" vertical="center"/>
    </xf>
    <xf numFmtId="164" fontId="1" fillId="28" borderId="3" xfId="0" applyNumberFormat="1" applyFont="1" applyFill="1" applyBorder="1" applyAlignment="1">
      <alignment horizontal="center" vertical="center"/>
    </xf>
    <xf numFmtId="0" fontId="9" fillId="28" borderId="1" xfId="0" applyFont="1" applyFill="1" applyBorder="1" applyAlignment="1">
      <alignment horizontal="center" vertical="center"/>
    </xf>
    <xf numFmtId="0" fontId="9" fillId="28" borderId="2" xfId="0" applyFont="1" applyFill="1" applyBorder="1" applyAlignment="1">
      <alignment horizontal="center" vertical="center"/>
    </xf>
    <xf numFmtId="0" fontId="9" fillId="28" borderId="3" xfId="0" applyFont="1" applyFill="1" applyBorder="1" applyAlignment="1">
      <alignment horizontal="center" vertical="center"/>
    </xf>
    <xf numFmtId="164" fontId="8" fillId="28" borderId="1" xfId="0" applyNumberFormat="1" applyFont="1" applyFill="1" applyBorder="1" applyAlignment="1">
      <alignment horizontal="center" vertical="center"/>
    </xf>
    <xf numFmtId="164" fontId="8" fillId="28" borderId="3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/>
    </xf>
    <xf numFmtId="20" fontId="15" fillId="0" borderId="4" xfId="0" applyNumberFormat="1" applyFont="1" applyBorder="1" applyAlignment="1">
      <alignment horizontal="left"/>
    </xf>
    <xf numFmtId="20" fontId="15" fillId="0" borderId="1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6" fillId="0" borderId="4" xfId="0" applyFont="1" applyBorder="1"/>
    <xf numFmtId="0" fontId="14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45" fillId="0" borderId="4" xfId="0" applyFont="1" applyBorder="1"/>
    <xf numFmtId="0" fontId="46" fillId="32" borderId="4" xfId="0" applyFont="1" applyFill="1" applyBorder="1"/>
    <xf numFmtId="0" fontId="46" fillId="0" borderId="4" xfId="0" applyFont="1" applyBorder="1"/>
    <xf numFmtId="0" fontId="45" fillId="0" borderId="18" xfId="0" applyFont="1" applyBorder="1"/>
    <xf numFmtId="0" fontId="48" fillId="0" borderId="4" xfId="0" applyFont="1" applyBorder="1"/>
    <xf numFmtId="0" fontId="0" fillId="0" borderId="4" xfId="0" applyBorder="1"/>
    <xf numFmtId="0" fontId="46" fillId="33" borderId="4" xfId="0" applyFont="1" applyFill="1" applyBorder="1"/>
    <xf numFmtId="0" fontId="50" fillId="0" borderId="4" xfId="0" applyFont="1" applyBorder="1" applyAlignment="1">
      <alignment horizontal="center" vertical="center"/>
    </xf>
    <xf numFmtId="1" fontId="51" fillId="0" borderId="4" xfId="0" applyNumberFormat="1" applyFont="1" applyBorder="1" applyAlignment="1">
      <alignment horizontal="center"/>
    </xf>
    <xf numFmtId="0" fontId="51" fillId="0" borderId="1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3" fillId="0" borderId="4" xfId="0" applyFont="1" applyBorder="1"/>
    <xf numFmtId="0" fontId="50" fillId="0" borderId="4" xfId="0" applyFont="1" applyBorder="1" applyAlignment="1">
      <alignment horizontal="center"/>
    </xf>
    <xf numFmtId="10" fontId="54" fillId="0" borderId="5" xfId="0" applyNumberFormat="1" applyFont="1" applyBorder="1" applyAlignment="1">
      <alignment horizontal="center" vertical="center"/>
    </xf>
    <xf numFmtId="1" fontId="54" fillId="0" borderId="4" xfId="0" applyNumberFormat="1" applyFont="1" applyBorder="1" applyAlignment="1">
      <alignment horizontal="center" vertical="center"/>
    </xf>
    <xf numFmtId="0" fontId="52" fillId="0" borderId="0" xfId="0" applyFont="1"/>
    <xf numFmtId="164" fontId="50" fillId="0" borderId="4" xfId="0" applyNumberFormat="1" applyFont="1" applyBorder="1" applyAlignment="1">
      <alignment horizontal="center"/>
    </xf>
    <xf numFmtId="0" fontId="55" fillId="0" borderId="4" xfId="0" applyFont="1" applyBorder="1" applyAlignment="1">
      <alignment horizontal="center" vertical="center"/>
    </xf>
    <xf numFmtId="10" fontId="54" fillId="0" borderId="25" xfId="44" applyNumberFormat="1" applyFont="1" applyBorder="1" applyAlignment="1">
      <alignment horizontal="center" vertical="center"/>
    </xf>
    <xf numFmtId="0" fontId="57" fillId="0" borderId="4" xfId="0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164" fontId="54" fillId="0" borderId="4" xfId="0" applyNumberFormat="1" applyFont="1" applyBorder="1" applyAlignment="1">
      <alignment horizontal="center" vertical="center"/>
    </xf>
    <xf numFmtId="10" fontId="54" fillId="5" borderId="4" xfId="0" applyNumberFormat="1" applyFont="1" applyFill="1" applyBorder="1" applyAlignment="1">
      <alignment horizontal="center" vertical="center"/>
    </xf>
    <xf numFmtId="164" fontId="52" fillId="0" borderId="0" xfId="0" applyNumberFormat="1" applyFont="1" applyAlignment="1">
      <alignment vertical="center"/>
    </xf>
    <xf numFmtId="164" fontId="50" fillId="0" borderId="4" xfId="0" applyNumberFormat="1" applyFont="1" applyBorder="1" applyAlignment="1">
      <alignment horizontal="center" vertical="center"/>
    </xf>
    <xf numFmtId="2" fontId="50" fillId="29" borderId="4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164" fontId="50" fillId="5" borderId="4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5" fillId="34" borderId="4" xfId="0" applyFont="1" applyFill="1" applyBorder="1"/>
    <xf numFmtId="0" fontId="0" fillId="34" borderId="4" xfId="0" applyFill="1" applyBorder="1"/>
    <xf numFmtId="0" fontId="15" fillId="34" borderId="4" xfId="0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2" fontId="10" fillId="5" borderId="0" xfId="0" applyNumberFormat="1" applyFont="1" applyFill="1" applyAlignment="1">
      <alignment horizontal="center" vertical="center"/>
    </xf>
    <xf numFmtId="2" fontId="0" fillId="0" borderId="0" xfId="0" applyNumberFormat="1"/>
    <xf numFmtId="0" fontId="5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34" fillId="0" borderId="4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2" fillId="0" borderId="0" xfId="0" applyFont="1"/>
    <xf numFmtId="0" fontId="63" fillId="0" borderId="4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0" fontId="67" fillId="0" borderId="0" xfId="0" applyFont="1"/>
    <xf numFmtId="0" fontId="67" fillId="0" borderId="0" xfId="0" applyFont="1" applyAlignment="1">
      <alignment horizontal="center"/>
    </xf>
    <xf numFmtId="2" fontId="7" fillId="28" borderId="18" xfId="0" applyNumberFormat="1" applyFont="1" applyFill="1" applyBorder="1" applyAlignment="1">
      <alignment horizontal="center" vertical="center"/>
    </xf>
    <xf numFmtId="0" fontId="68" fillId="28" borderId="4" xfId="0" applyFont="1" applyFill="1" applyBorder="1"/>
    <xf numFmtId="0" fontId="3" fillId="0" borderId="1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7" xfId="1" applyFont="1" applyFill="1" applyBorder="1" applyAlignment="1">
      <alignment horizontal="left"/>
    </xf>
    <xf numFmtId="0" fontId="3" fillId="28" borderId="1" xfId="0" applyFont="1" applyFill="1" applyBorder="1" applyAlignment="1">
      <alignment horizontal="center" vertical="center"/>
    </xf>
    <xf numFmtId="0" fontId="3" fillId="28" borderId="2" xfId="0" applyFont="1" applyFill="1" applyBorder="1" applyAlignment="1">
      <alignment horizontal="center" vertical="center"/>
    </xf>
    <xf numFmtId="0" fontId="3" fillId="28" borderId="3" xfId="0" applyFont="1" applyFill="1" applyBorder="1" applyAlignment="1">
      <alignment horizontal="center" vertical="center"/>
    </xf>
    <xf numFmtId="2" fontId="3" fillId="28" borderId="19" xfId="0" applyNumberFormat="1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/>
    </xf>
    <xf numFmtId="0" fontId="70" fillId="0" borderId="4" xfId="0" applyFont="1" applyBorder="1"/>
    <xf numFmtId="0" fontId="69" fillId="0" borderId="4" xfId="0" applyFont="1" applyBorder="1" applyAlignment="1">
      <alignment horizontal="center" vertical="center"/>
    </xf>
    <xf numFmtId="164" fontId="71" fillId="0" borderId="4" xfId="0" applyNumberFormat="1" applyFont="1" applyBorder="1" applyAlignment="1">
      <alignment horizontal="center" vertical="center"/>
    </xf>
    <xf numFmtId="10" fontId="71" fillId="5" borderId="4" xfId="0" applyNumberFormat="1" applyFont="1" applyFill="1" applyBorder="1" applyAlignment="1">
      <alignment horizontal="center" vertical="center"/>
    </xf>
    <xf numFmtId="2" fontId="71" fillId="5" borderId="4" xfId="0" applyNumberFormat="1" applyFont="1" applyFill="1" applyBorder="1" applyAlignment="1">
      <alignment horizontal="center" vertical="center"/>
    </xf>
    <xf numFmtId="164" fontId="67" fillId="0" borderId="4" xfId="0" applyNumberFormat="1" applyFont="1" applyBorder="1" applyAlignment="1">
      <alignment vertical="center"/>
    </xf>
    <xf numFmtId="164" fontId="69" fillId="0" borderId="4" xfId="0" applyNumberFormat="1" applyFont="1" applyBorder="1" applyAlignment="1">
      <alignment horizontal="center" vertical="center"/>
    </xf>
    <xf numFmtId="2" fontId="72" fillId="29" borderId="4" xfId="0" applyNumberFormat="1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164" fontId="69" fillId="5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4" fillId="0" borderId="4" xfId="0" applyFont="1" applyBorder="1"/>
    <xf numFmtId="0" fontId="73" fillId="0" borderId="4" xfId="0" applyFont="1" applyBorder="1" applyAlignment="1">
      <alignment horizontal="center" vertical="center"/>
    </xf>
    <xf numFmtId="164" fontId="75" fillId="0" borderId="4" xfId="0" applyNumberFormat="1" applyFont="1" applyBorder="1" applyAlignment="1">
      <alignment horizontal="center" vertical="center"/>
    </xf>
    <xf numFmtId="10" fontId="75" fillId="5" borderId="4" xfId="0" applyNumberFormat="1" applyFont="1" applyFill="1" applyBorder="1" applyAlignment="1">
      <alignment horizontal="center" vertical="center"/>
    </xf>
    <xf numFmtId="2" fontId="75" fillId="5" borderId="4" xfId="0" applyNumberFormat="1" applyFont="1" applyFill="1" applyBorder="1" applyAlignment="1">
      <alignment horizontal="center" vertical="center"/>
    </xf>
    <xf numFmtId="164" fontId="76" fillId="0" borderId="4" xfId="0" applyNumberFormat="1" applyFont="1" applyBorder="1" applyAlignment="1">
      <alignment vertical="center"/>
    </xf>
    <xf numFmtId="164" fontId="73" fillId="0" borderId="4" xfId="0" applyNumberFormat="1" applyFont="1" applyBorder="1" applyAlignment="1">
      <alignment horizontal="center" vertical="center"/>
    </xf>
    <xf numFmtId="2" fontId="73" fillId="29" borderId="4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164" fontId="73" fillId="5" borderId="4" xfId="0" applyNumberFormat="1" applyFont="1" applyFill="1" applyBorder="1" applyAlignment="1">
      <alignment horizontal="center" vertical="center"/>
    </xf>
    <xf numFmtId="0" fontId="77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left"/>
    </xf>
    <xf numFmtId="2" fontId="71" fillId="5" borderId="0" xfId="0" applyNumberFormat="1" applyFont="1" applyFill="1" applyAlignment="1">
      <alignment horizontal="center" vertical="center"/>
    </xf>
    <xf numFmtId="164" fontId="67" fillId="0" borderId="0" xfId="0" applyNumberFormat="1" applyFont="1" applyAlignment="1">
      <alignment vertical="center"/>
    </xf>
    <xf numFmtId="0" fontId="7" fillId="2" borderId="16" xfId="1" applyFont="1" applyFill="1" applyBorder="1" applyAlignment="1">
      <alignment horizontal="left"/>
    </xf>
    <xf numFmtId="164" fontId="3" fillId="28" borderId="1" xfId="0" applyNumberFormat="1" applyFont="1" applyFill="1" applyBorder="1" applyAlignment="1">
      <alignment horizontal="center" vertical="center"/>
    </xf>
    <xf numFmtId="164" fontId="3" fillId="28" borderId="3" xfId="0" applyNumberFormat="1" applyFont="1" applyFill="1" applyBorder="1" applyAlignment="1">
      <alignment horizontal="center" vertical="center"/>
    </xf>
    <xf numFmtId="0" fontId="69" fillId="35" borderId="4" xfId="0" applyFont="1" applyFill="1" applyBorder="1" applyAlignment="1">
      <alignment horizontal="center" vertical="center"/>
    </xf>
    <xf numFmtId="0" fontId="67" fillId="0" borderId="4" xfId="0" applyFont="1" applyBorder="1"/>
    <xf numFmtId="20" fontId="69" fillId="0" borderId="4" xfId="0" applyNumberFormat="1" applyFont="1" applyBorder="1" applyAlignment="1">
      <alignment horizontal="left"/>
    </xf>
    <xf numFmtId="0" fontId="7" fillId="2" borderId="18" xfId="1" applyFont="1" applyFill="1" applyBorder="1" applyAlignment="1">
      <alignment horizontal="left"/>
    </xf>
    <xf numFmtId="0" fontId="67" fillId="28" borderId="3" xfId="0" applyFont="1" applyFill="1" applyBorder="1" applyAlignment="1">
      <alignment horizontal="center"/>
    </xf>
    <xf numFmtId="0" fontId="69" fillId="36" borderId="4" xfId="0" applyFont="1" applyFill="1" applyBorder="1" applyAlignment="1">
      <alignment horizontal="center"/>
    </xf>
    <xf numFmtId="0" fontId="67" fillId="0" borderId="16" xfId="0" applyFont="1" applyBorder="1"/>
    <xf numFmtId="0" fontId="3" fillId="28" borderId="4" xfId="0" applyFont="1" applyFill="1" applyBorder="1" applyAlignment="1">
      <alignment horizontal="center" vertical="center"/>
    </xf>
    <xf numFmtId="0" fontId="78" fillId="0" borderId="4" xfId="0" applyFont="1" applyBorder="1"/>
    <xf numFmtId="0" fontId="79" fillId="0" borderId="4" xfId="0" applyFont="1" applyBorder="1"/>
    <xf numFmtId="2" fontId="69" fillId="29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9" fillId="0" borderId="17" xfId="0" applyFont="1" applyBorder="1" applyAlignment="1">
      <alignment horizontal="left"/>
    </xf>
    <xf numFmtId="0" fontId="69" fillId="0" borderId="18" xfId="0" applyFont="1" applyBorder="1" applyAlignment="1">
      <alignment horizontal="left"/>
    </xf>
    <xf numFmtId="0" fontId="69" fillId="0" borderId="18" xfId="0" applyFont="1" applyBorder="1" applyAlignment="1">
      <alignment horizontal="center" vertical="center"/>
    </xf>
    <xf numFmtId="164" fontId="71" fillId="0" borderId="17" xfId="0" applyNumberFormat="1" applyFont="1" applyBorder="1" applyAlignment="1">
      <alignment horizontal="center" vertical="center"/>
    </xf>
    <xf numFmtId="164" fontId="71" fillId="0" borderId="19" xfId="0" applyNumberFormat="1" applyFont="1" applyBorder="1" applyAlignment="1">
      <alignment horizontal="center" vertical="center"/>
    </xf>
    <xf numFmtId="10" fontId="71" fillId="5" borderId="18" xfId="0" applyNumberFormat="1" applyFont="1" applyFill="1" applyBorder="1" applyAlignment="1">
      <alignment horizontal="center" vertical="center"/>
    </xf>
    <xf numFmtId="164" fontId="69" fillId="0" borderId="17" xfId="0" applyNumberFormat="1" applyFont="1" applyBorder="1" applyAlignment="1">
      <alignment horizontal="center" vertical="center"/>
    </xf>
    <xf numFmtId="164" fontId="69" fillId="0" borderId="19" xfId="0" applyNumberFormat="1" applyFont="1" applyBorder="1" applyAlignment="1">
      <alignment horizontal="center" vertical="center"/>
    </xf>
    <xf numFmtId="2" fontId="72" fillId="29" borderId="18" xfId="0" applyNumberFormat="1" applyFont="1" applyFill="1" applyBorder="1" applyAlignment="1">
      <alignment horizontal="center" vertical="center"/>
    </xf>
    <xf numFmtId="164" fontId="69" fillId="5" borderId="17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/>
    </xf>
    <xf numFmtId="0" fontId="80" fillId="0" borderId="0" xfId="0" applyFont="1" applyAlignment="1">
      <alignment horizontal="center" vertical="center"/>
    </xf>
    <xf numFmtId="0" fontId="69" fillId="0" borderId="3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0" fillId="0" borderId="18" xfId="0" applyFont="1" applyBorder="1"/>
    <xf numFmtId="0" fontId="73" fillId="36" borderId="4" xfId="0" applyFont="1" applyFill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164" fontId="71" fillId="0" borderId="1" xfId="0" applyNumberFormat="1" applyFont="1" applyBorder="1" applyAlignment="1">
      <alignment horizontal="center" vertical="center"/>
    </xf>
    <xf numFmtId="10" fontId="71" fillId="5" borderId="3" xfId="0" applyNumberFormat="1" applyFont="1" applyFill="1" applyBorder="1" applyAlignment="1">
      <alignment horizontal="center" vertical="center"/>
    </xf>
    <xf numFmtId="164" fontId="69" fillId="0" borderId="1" xfId="0" applyNumberFormat="1" applyFont="1" applyBorder="1" applyAlignment="1">
      <alignment horizontal="center" vertical="center"/>
    </xf>
    <xf numFmtId="2" fontId="72" fillId="29" borderId="3" xfId="0" applyNumberFormat="1" applyFont="1" applyFill="1" applyBorder="1" applyAlignment="1">
      <alignment horizontal="center" vertical="center"/>
    </xf>
    <xf numFmtId="164" fontId="69" fillId="5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9" fillId="2" borderId="3" xfId="0" applyFont="1" applyFill="1" applyBorder="1" applyAlignment="1">
      <alignment horizontal="left"/>
    </xf>
    <xf numFmtId="2" fontId="69" fillId="5" borderId="1" xfId="0" applyNumberFormat="1" applyFont="1" applyFill="1" applyBorder="1" applyAlignment="1">
      <alignment horizontal="center" vertical="center"/>
    </xf>
    <xf numFmtId="0" fontId="3" fillId="37" borderId="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7" fillId="28" borderId="1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8" fontId="3" fillId="29" borderId="1" xfId="0" applyNumberFormat="1" applyFont="1" applyFill="1" applyBorder="1" applyAlignment="1">
      <alignment horizontal="center"/>
    </xf>
    <xf numFmtId="18" fontId="3" fillId="29" borderId="3" xfId="0" applyNumberFormat="1" applyFont="1" applyFill="1" applyBorder="1" applyAlignment="1">
      <alignment horizontal="center"/>
    </xf>
    <xf numFmtId="0" fontId="9" fillId="28" borderId="1" xfId="0" applyFont="1" applyFill="1" applyBorder="1" applyAlignment="1">
      <alignment horizontal="center" vertical="center"/>
    </xf>
    <xf numFmtId="0" fontId="9" fillId="28" borderId="2" xfId="0" applyFont="1" applyFill="1" applyBorder="1" applyAlignment="1">
      <alignment horizontal="center" vertical="center"/>
    </xf>
    <xf numFmtId="0" fontId="9" fillId="28" borderId="3" xfId="0" applyFont="1" applyFill="1" applyBorder="1" applyAlignment="1">
      <alignment horizontal="center" vertical="center"/>
    </xf>
    <xf numFmtId="164" fontId="8" fillId="28" borderId="1" xfId="0" applyNumberFormat="1" applyFont="1" applyFill="1" applyBorder="1" applyAlignment="1">
      <alignment horizontal="center" vertical="center"/>
    </xf>
    <xf numFmtId="164" fontId="8" fillId="28" borderId="3" xfId="0" applyNumberFormat="1" applyFont="1" applyFill="1" applyBorder="1" applyAlignment="1">
      <alignment horizontal="center" vertical="center"/>
    </xf>
    <xf numFmtId="0" fontId="43" fillId="0" borderId="24" xfId="0" quotePrefix="1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5" fillId="30" borderId="23" xfId="0" applyFont="1" applyFill="1" applyBorder="1" applyAlignment="1">
      <alignment horizontal="center" vertical="center" wrapText="1"/>
    </xf>
    <xf numFmtId="0" fontId="5" fillId="30" borderId="27" xfId="0" applyFont="1" applyFill="1" applyBorder="1" applyAlignment="1">
      <alignment horizontal="center" vertical="center" wrapText="1"/>
    </xf>
    <xf numFmtId="0" fontId="8" fillId="31" borderId="4" xfId="0" quotePrefix="1" applyFont="1" applyFill="1" applyBorder="1" applyAlignment="1">
      <alignment horizontal="center" vertical="center" wrapText="1"/>
    </xf>
    <xf numFmtId="0" fontId="35" fillId="3" borderId="24" xfId="0" applyFont="1" applyFill="1" applyBorder="1" applyAlignment="1">
      <alignment horizontal="center" vertical="center" textRotation="90" wrapText="1"/>
    </xf>
    <xf numFmtId="0" fontId="35" fillId="3" borderId="5" xfId="0" applyFont="1" applyFill="1" applyBorder="1" applyAlignment="1">
      <alignment horizontal="center" vertical="center" textRotation="90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165" fontId="41" fillId="0" borderId="21" xfId="0" quotePrefix="1" applyNumberFormat="1" applyFont="1" applyBorder="1" applyAlignment="1">
      <alignment horizontal="center" vertical="center"/>
    </xf>
    <xf numFmtId="166" fontId="3" fillId="2" borderId="4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30" borderId="22" xfId="0" applyFont="1" applyFill="1" applyBorder="1" applyAlignment="1">
      <alignment horizontal="center" vertical="center" wrapText="1"/>
    </xf>
    <xf numFmtId="0" fontId="5" fillId="30" borderId="26" xfId="0" applyFont="1" applyFill="1" applyBorder="1" applyAlignment="1">
      <alignment horizontal="center" vertical="center" wrapText="1"/>
    </xf>
    <xf numFmtId="0" fontId="34" fillId="28" borderId="1" xfId="0" applyFont="1" applyFill="1" applyBorder="1" applyAlignment="1">
      <alignment horizontal="center" vertical="center"/>
    </xf>
    <xf numFmtId="0" fontId="34" fillId="28" borderId="2" xfId="0" applyFont="1" applyFill="1" applyBorder="1" applyAlignment="1">
      <alignment horizontal="center" vertical="center"/>
    </xf>
    <xf numFmtId="0" fontId="34" fillId="28" borderId="3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18" fontId="33" fillId="29" borderId="1" xfId="0" applyNumberFormat="1" applyFont="1" applyFill="1" applyBorder="1" applyAlignment="1">
      <alignment horizontal="center"/>
    </xf>
    <xf numFmtId="18" fontId="33" fillId="29" borderId="3" xfId="0" applyNumberFormat="1" applyFont="1" applyFill="1" applyBorder="1" applyAlignment="1">
      <alignment horizontal="center"/>
    </xf>
    <xf numFmtId="0" fontId="35" fillId="3" borderId="20" xfId="0" applyFont="1" applyFill="1" applyBorder="1" applyAlignment="1">
      <alignment horizontal="center" vertical="center" textRotation="90" wrapText="1"/>
    </xf>
  </cellXfs>
  <cellStyles count="4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cel Built-in Normal" xfId="43" xr:uid="{00000000-0005-0000-0000-00001B000000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1" xr:uid="{00000000-0005-0000-0000-000026000000}"/>
    <cellStyle name="Note 2" xfId="38" xr:uid="{00000000-0005-0000-0000-000027000000}"/>
    <cellStyle name="Output 2" xfId="39" xr:uid="{00000000-0005-0000-0000-000028000000}"/>
    <cellStyle name="Per cent" xfId="44" builtinId="5"/>
    <cellStyle name="Title 2" xfId="40" xr:uid="{00000000-0005-0000-0000-00002A000000}"/>
    <cellStyle name="Total 2" xfId="41" xr:uid="{00000000-0005-0000-0000-00002B000000}"/>
    <cellStyle name="Warning Text 2" xfId="42" xr:uid="{00000000-0005-0000-0000-00002C000000}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878416</xdr:colOff>
      <xdr:row>0</xdr:row>
      <xdr:rowOff>211666</xdr:rowOff>
    </xdr:from>
    <xdr:to>
      <xdr:col>2</xdr:col>
      <xdr:colOff>266700</xdr:colOff>
      <xdr:row>2</xdr:row>
      <xdr:rowOff>298449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07066" y="211666"/>
          <a:ext cx="3601509" cy="58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endParaRPr lang="en-AU" sz="1600" b="1" i="0" strike="noStrike">
            <a:solidFill>
              <a:srgbClr val="000000"/>
            </a:solidFill>
            <a:latin typeface="Arial Narrow" pitchFamily="34" charset="0"/>
            <a:ea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461963</xdr:colOff>
      <xdr:row>2</xdr:row>
      <xdr:rowOff>88106</xdr:rowOff>
    </xdr:from>
    <xdr:to>
      <xdr:col>4</xdr:col>
      <xdr:colOff>528638</xdr:colOff>
      <xdr:row>3</xdr:row>
      <xdr:rowOff>402431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33488" y="888206"/>
          <a:ext cx="40386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AU" sz="2400" b="1" i="0" strike="noStrike">
              <a:solidFill>
                <a:srgbClr val="000000"/>
              </a:solidFill>
              <a:latin typeface="Arial"/>
              <a:cs typeface="Arial"/>
            </a:rPr>
            <a:t>EQUITATION</a:t>
          </a:r>
          <a:endParaRPr lang="en-AU" sz="1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AU" sz="1600" b="1" i="0" strike="noStrike">
              <a:solidFill>
                <a:srgbClr val="000000"/>
              </a:solidFill>
              <a:latin typeface="Arial"/>
              <a:cs typeface="Arial"/>
            </a:rPr>
            <a:t>12</a:t>
          </a:r>
          <a:r>
            <a:rPr lang="en-AU" sz="1600" b="1" i="0" strike="noStrike" baseline="0">
              <a:solidFill>
                <a:srgbClr val="000000"/>
              </a:solidFill>
              <a:latin typeface="Arial"/>
              <a:cs typeface="Arial"/>
            </a:rPr>
            <a:t>th March 2011</a:t>
          </a:r>
          <a:endParaRPr lang="en-AU" sz="1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878416</xdr:colOff>
      <xdr:row>0</xdr:row>
      <xdr:rowOff>211666</xdr:rowOff>
    </xdr:from>
    <xdr:to>
      <xdr:col>2</xdr:col>
      <xdr:colOff>266700</xdr:colOff>
      <xdr:row>4</xdr:row>
      <xdr:rowOff>17991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DD1AA07-63B8-45A2-98D0-665FE12D294F}"/>
            </a:ext>
          </a:extLst>
        </xdr:cNvPr>
        <xdr:cNvSpPr txBox="1">
          <a:spLocks noChangeArrowheads="1"/>
        </xdr:cNvSpPr>
      </xdr:nvSpPr>
      <xdr:spPr bwMode="auto">
        <a:xfrm>
          <a:off x="1354666" y="211666"/>
          <a:ext cx="1483784" cy="58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endParaRPr lang="en-AU" sz="1600" b="1" i="0" strike="noStrike">
            <a:solidFill>
              <a:srgbClr val="000000"/>
            </a:solidFill>
            <a:latin typeface="Arial Narrow" pitchFamily="34" charset="0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3"/>
  <sheetViews>
    <sheetView tabSelected="1" zoomScale="90" zoomScaleNormal="9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M32" sqref="M32"/>
    </sheetView>
  </sheetViews>
  <sheetFormatPr baseColWidth="10" defaultColWidth="8.83203125" defaultRowHeight="15" x14ac:dyDescent="0.2"/>
  <cols>
    <col min="1" max="1" width="7.1640625" customWidth="1"/>
    <col min="2" max="2" width="31.5" customWidth="1"/>
    <col min="3" max="3" width="32.6640625" customWidth="1"/>
    <col min="4" max="4" width="21.33203125" customWidth="1"/>
    <col min="5" max="5" width="9.1640625" style="1" customWidth="1"/>
    <col min="6" max="8" width="10" customWidth="1"/>
    <col min="9" max="9" width="13.5" style="121" customWidth="1"/>
    <col min="10" max="10" width="10.1640625" customWidth="1"/>
    <col min="11" max="14" width="11.6640625" customWidth="1"/>
    <col min="15" max="15" width="2" customWidth="1"/>
    <col min="16" max="16" width="11.1640625" customWidth="1"/>
    <col min="17" max="17" width="10.1640625" customWidth="1"/>
    <col min="18" max="18" width="8" customWidth="1"/>
    <col min="19" max="19" width="1.5" customWidth="1"/>
    <col min="20" max="20" width="9.5" customWidth="1"/>
    <col min="21" max="21" width="1.33203125" customWidth="1"/>
    <col min="249" max="249" width="7.1640625" customWidth="1"/>
    <col min="250" max="250" width="33.1640625" customWidth="1"/>
    <col min="251" max="251" width="29.5" customWidth="1"/>
    <col min="252" max="252" width="9.5" customWidth="1"/>
    <col min="253" max="253" width="9.1640625" customWidth="1"/>
    <col min="254" max="254" width="14.83203125" customWidth="1"/>
    <col min="255" max="256" width="8.33203125" customWidth="1"/>
    <col min="263" max="263" width="2.1640625" customWidth="1"/>
    <col min="265" max="265" width="10.1640625" customWidth="1"/>
    <col min="505" max="505" width="7.1640625" customWidth="1"/>
    <col min="506" max="506" width="33.1640625" customWidth="1"/>
    <col min="507" max="507" width="29.5" customWidth="1"/>
    <col min="508" max="508" width="9.5" customWidth="1"/>
    <col min="509" max="509" width="9.1640625" customWidth="1"/>
    <col min="510" max="510" width="14.83203125" customWidth="1"/>
    <col min="511" max="512" width="8.33203125" customWidth="1"/>
    <col min="519" max="519" width="2.1640625" customWidth="1"/>
    <col min="521" max="521" width="10.1640625" customWidth="1"/>
    <col min="761" max="761" width="7.1640625" customWidth="1"/>
    <col min="762" max="762" width="33.1640625" customWidth="1"/>
    <col min="763" max="763" width="29.5" customWidth="1"/>
    <col min="764" max="764" width="9.5" customWidth="1"/>
    <col min="765" max="765" width="9.1640625" customWidth="1"/>
    <col min="766" max="766" width="14.83203125" customWidth="1"/>
    <col min="767" max="768" width="8.33203125" customWidth="1"/>
    <col min="775" max="775" width="2.1640625" customWidth="1"/>
    <col min="777" max="777" width="10.1640625" customWidth="1"/>
    <col min="1017" max="1017" width="7.1640625" customWidth="1"/>
    <col min="1018" max="1018" width="33.1640625" customWidth="1"/>
    <col min="1019" max="1019" width="29.5" customWidth="1"/>
    <col min="1020" max="1020" width="9.5" customWidth="1"/>
    <col min="1021" max="1021" width="9.1640625" customWidth="1"/>
    <col min="1022" max="1022" width="14.83203125" customWidth="1"/>
    <col min="1023" max="1024" width="8.33203125" customWidth="1"/>
    <col min="1031" max="1031" width="2.1640625" customWidth="1"/>
    <col min="1033" max="1033" width="10.1640625" customWidth="1"/>
    <col min="1273" max="1273" width="7.1640625" customWidth="1"/>
    <col min="1274" max="1274" width="33.1640625" customWidth="1"/>
    <col min="1275" max="1275" width="29.5" customWidth="1"/>
    <col min="1276" max="1276" width="9.5" customWidth="1"/>
    <col min="1277" max="1277" width="9.1640625" customWidth="1"/>
    <col min="1278" max="1278" width="14.83203125" customWidth="1"/>
    <col min="1279" max="1280" width="8.33203125" customWidth="1"/>
    <col min="1287" max="1287" width="2.1640625" customWidth="1"/>
    <col min="1289" max="1289" width="10.1640625" customWidth="1"/>
    <col min="1529" max="1529" width="7.1640625" customWidth="1"/>
    <col min="1530" max="1530" width="33.1640625" customWidth="1"/>
    <col min="1531" max="1531" width="29.5" customWidth="1"/>
    <col min="1532" max="1532" width="9.5" customWidth="1"/>
    <col min="1533" max="1533" width="9.1640625" customWidth="1"/>
    <col min="1534" max="1534" width="14.83203125" customWidth="1"/>
    <col min="1535" max="1536" width="8.33203125" customWidth="1"/>
    <col min="1543" max="1543" width="2.1640625" customWidth="1"/>
    <col min="1545" max="1545" width="10.1640625" customWidth="1"/>
    <col min="1785" max="1785" width="7.1640625" customWidth="1"/>
    <col min="1786" max="1786" width="33.1640625" customWidth="1"/>
    <col min="1787" max="1787" width="29.5" customWidth="1"/>
    <col min="1788" max="1788" width="9.5" customWidth="1"/>
    <col min="1789" max="1789" width="9.1640625" customWidth="1"/>
    <col min="1790" max="1790" width="14.83203125" customWidth="1"/>
    <col min="1791" max="1792" width="8.33203125" customWidth="1"/>
    <col min="1799" max="1799" width="2.1640625" customWidth="1"/>
    <col min="1801" max="1801" width="10.1640625" customWidth="1"/>
    <col min="2041" max="2041" width="7.1640625" customWidth="1"/>
    <col min="2042" max="2042" width="33.1640625" customWidth="1"/>
    <col min="2043" max="2043" width="29.5" customWidth="1"/>
    <col min="2044" max="2044" width="9.5" customWidth="1"/>
    <col min="2045" max="2045" width="9.1640625" customWidth="1"/>
    <col min="2046" max="2046" width="14.83203125" customWidth="1"/>
    <col min="2047" max="2048" width="8.33203125" customWidth="1"/>
    <col min="2055" max="2055" width="2.1640625" customWidth="1"/>
    <col min="2057" max="2057" width="10.1640625" customWidth="1"/>
    <col min="2297" max="2297" width="7.1640625" customWidth="1"/>
    <col min="2298" max="2298" width="33.1640625" customWidth="1"/>
    <col min="2299" max="2299" width="29.5" customWidth="1"/>
    <col min="2300" max="2300" width="9.5" customWidth="1"/>
    <col min="2301" max="2301" width="9.1640625" customWidth="1"/>
    <col min="2302" max="2302" width="14.83203125" customWidth="1"/>
    <col min="2303" max="2304" width="8.33203125" customWidth="1"/>
    <col min="2311" max="2311" width="2.1640625" customWidth="1"/>
    <col min="2313" max="2313" width="10.1640625" customWidth="1"/>
    <col min="2553" max="2553" width="7.1640625" customWidth="1"/>
    <col min="2554" max="2554" width="33.1640625" customWidth="1"/>
    <col min="2555" max="2555" width="29.5" customWidth="1"/>
    <col min="2556" max="2556" width="9.5" customWidth="1"/>
    <col min="2557" max="2557" width="9.1640625" customWidth="1"/>
    <col min="2558" max="2558" width="14.83203125" customWidth="1"/>
    <col min="2559" max="2560" width="8.33203125" customWidth="1"/>
    <col min="2567" max="2567" width="2.1640625" customWidth="1"/>
    <col min="2569" max="2569" width="10.1640625" customWidth="1"/>
    <col min="2809" max="2809" width="7.1640625" customWidth="1"/>
    <col min="2810" max="2810" width="33.1640625" customWidth="1"/>
    <col min="2811" max="2811" width="29.5" customWidth="1"/>
    <col min="2812" max="2812" width="9.5" customWidth="1"/>
    <col min="2813" max="2813" width="9.1640625" customWidth="1"/>
    <col min="2814" max="2814" width="14.83203125" customWidth="1"/>
    <col min="2815" max="2816" width="8.33203125" customWidth="1"/>
    <col min="2823" max="2823" width="2.1640625" customWidth="1"/>
    <col min="2825" max="2825" width="10.1640625" customWidth="1"/>
    <col min="3065" max="3065" width="7.1640625" customWidth="1"/>
    <col min="3066" max="3066" width="33.1640625" customWidth="1"/>
    <col min="3067" max="3067" width="29.5" customWidth="1"/>
    <col min="3068" max="3068" width="9.5" customWidth="1"/>
    <col min="3069" max="3069" width="9.1640625" customWidth="1"/>
    <col min="3070" max="3070" width="14.83203125" customWidth="1"/>
    <col min="3071" max="3072" width="8.33203125" customWidth="1"/>
    <col min="3079" max="3079" width="2.1640625" customWidth="1"/>
    <col min="3081" max="3081" width="10.1640625" customWidth="1"/>
    <col min="3321" max="3321" width="7.1640625" customWidth="1"/>
    <col min="3322" max="3322" width="33.1640625" customWidth="1"/>
    <col min="3323" max="3323" width="29.5" customWidth="1"/>
    <col min="3324" max="3324" width="9.5" customWidth="1"/>
    <col min="3325" max="3325" width="9.1640625" customWidth="1"/>
    <col min="3326" max="3326" width="14.83203125" customWidth="1"/>
    <col min="3327" max="3328" width="8.33203125" customWidth="1"/>
    <col min="3335" max="3335" width="2.1640625" customWidth="1"/>
    <col min="3337" max="3337" width="10.1640625" customWidth="1"/>
    <col min="3577" max="3577" width="7.1640625" customWidth="1"/>
    <col min="3578" max="3578" width="33.1640625" customWidth="1"/>
    <col min="3579" max="3579" width="29.5" customWidth="1"/>
    <col min="3580" max="3580" width="9.5" customWidth="1"/>
    <col min="3581" max="3581" width="9.1640625" customWidth="1"/>
    <col min="3582" max="3582" width="14.83203125" customWidth="1"/>
    <col min="3583" max="3584" width="8.33203125" customWidth="1"/>
    <col min="3591" max="3591" width="2.1640625" customWidth="1"/>
    <col min="3593" max="3593" width="10.1640625" customWidth="1"/>
    <col min="3833" max="3833" width="7.1640625" customWidth="1"/>
    <col min="3834" max="3834" width="33.1640625" customWidth="1"/>
    <col min="3835" max="3835" width="29.5" customWidth="1"/>
    <col min="3836" max="3836" width="9.5" customWidth="1"/>
    <col min="3837" max="3837" width="9.1640625" customWidth="1"/>
    <col min="3838" max="3838" width="14.83203125" customWidth="1"/>
    <col min="3839" max="3840" width="8.33203125" customWidth="1"/>
    <col min="3847" max="3847" width="2.1640625" customWidth="1"/>
    <col min="3849" max="3849" width="10.1640625" customWidth="1"/>
    <col min="4089" max="4089" width="7.1640625" customWidth="1"/>
    <col min="4090" max="4090" width="33.1640625" customWidth="1"/>
    <col min="4091" max="4091" width="29.5" customWidth="1"/>
    <col min="4092" max="4092" width="9.5" customWidth="1"/>
    <col min="4093" max="4093" width="9.1640625" customWidth="1"/>
    <col min="4094" max="4094" width="14.83203125" customWidth="1"/>
    <col min="4095" max="4096" width="8.33203125" customWidth="1"/>
    <col min="4103" max="4103" width="2.1640625" customWidth="1"/>
    <col min="4105" max="4105" width="10.1640625" customWidth="1"/>
    <col min="4345" max="4345" width="7.1640625" customWidth="1"/>
    <col min="4346" max="4346" width="33.1640625" customWidth="1"/>
    <col min="4347" max="4347" width="29.5" customWidth="1"/>
    <col min="4348" max="4348" width="9.5" customWidth="1"/>
    <col min="4349" max="4349" width="9.1640625" customWidth="1"/>
    <col min="4350" max="4350" width="14.83203125" customWidth="1"/>
    <col min="4351" max="4352" width="8.33203125" customWidth="1"/>
    <col min="4359" max="4359" width="2.1640625" customWidth="1"/>
    <col min="4361" max="4361" width="10.1640625" customWidth="1"/>
    <col min="4601" max="4601" width="7.1640625" customWidth="1"/>
    <col min="4602" max="4602" width="33.1640625" customWidth="1"/>
    <col min="4603" max="4603" width="29.5" customWidth="1"/>
    <col min="4604" max="4604" width="9.5" customWidth="1"/>
    <col min="4605" max="4605" width="9.1640625" customWidth="1"/>
    <col min="4606" max="4606" width="14.83203125" customWidth="1"/>
    <col min="4607" max="4608" width="8.33203125" customWidth="1"/>
    <col min="4615" max="4615" width="2.1640625" customWidth="1"/>
    <col min="4617" max="4617" width="10.1640625" customWidth="1"/>
    <col min="4857" max="4857" width="7.1640625" customWidth="1"/>
    <col min="4858" max="4858" width="33.1640625" customWidth="1"/>
    <col min="4859" max="4859" width="29.5" customWidth="1"/>
    <col min="4860" max="4860" width="9.5" customWidth="1"/>
    <col min="4861" max="4861" width="9.1640625" customWidth="1"/>
    <col min="4862" max="4862" width="14.83203125" customWidth="1"/>
    <col min="4863" max="4864" width="8.33203125" customWidth="1"/>
    <col min="4871" max="4871" width="2.1640625" customWidth="1"/>
    <col min="4873" max="4873" width="10.1640625" customWidth="1"/>
    <col min="5113" max="5113" width="7.1640625" customWidth="1"/>
    <col min="5114" max="5114" width="33.1640625" customWidth="1"/>
    <col min="5115" max="5115" width="29.5" customWidth="1"/>
    <col min="5116" max="5116" width="9.5" customWidth="1"/>
    <col min="5117" max="5117" width="9.1640625" customWidth="1"/>
    <col min="5118" max="5118" width="14.83203125" customWidth="1"/>
    <col min="5119" max="5120" width="8.33203125" customWidth="1"/>
    <col min="5127" max="5127" width="2.1640625" customWidth="1"/>
    <col min="5129" max="5129" width="10.1640625" customWidth="1"/>
    <col min="5369" max="5369" width="7.1640625" customWidth="1"/>
    <col min="5370" max="5370" width="33.1640625" customWidth="1"/>
    <col min="5371" max="5371" width="29.5" customWidth="1"/>
    <col min="5372" max="5372" width="9.5" customWidth="1"/>
    <col min="5373" max="5373" width="9.1640625" customWidth="1"/>
    <col min="5374" max="5374" width="14.83203125" customWidth="1"/>
    <col min="5375" max="5376" width="8.33203125" customWidth="1"/>
    <col min="5383" max="5383" width="2.1640625" customWidth="1"/>
    <col min="5385" max="5385" width="10.1640625" customWidth="1"/>
    <col min="5625" max="5625" width="7.1640625" customWidth="1"/>
    <col min="5626" max="5626" width="33.1640625" customWidth="1"/>
    <col min="5627" max="5627" width="29.5" customWidth="1"/>
    <col min="5628" max="5628" width="9.5" customWidth="1"/>
    <col min="5629" max="5629" width="9.1640625" customWidth="1"/>
    <col min="5630" max="5630" width="14.83203125" customWidth="1"/>
    <col min="5631" max="5632" width="8.33203125" customWidth="1"/>
    <col min="5639" max="5639" width="2.1640625" customWidth="1"/>
    <col min="5641" max="5641" width="10.1640625" customWidth="1"/>
    <col min="5881" max="5881" width="7.1640625" customWidth="1"/>
    <col min="5882" max="5882" width="33.1640625" customWidth="1"/>
    <col min="5883" max="5883" width="29.5" customWidth="1"/>
    <col min="5884" max="5884" width="9.5" customWidth="1"/>
    <col min="5885" max="5885" width="9.1640625" customWidth="1"/>
    <col min="5886" max="5886" width="14.83203125" customWidth="1"/>
    <col min="5887" max="5888" width="8.33203125" customWidth="1"/>
    <col min="5895" max="5895" width="2.1640625" customWidth="1"/>
    <col min="5897" max="5897" width="10.1640625" customWidth="1"/>
    <col min="6137" max="6137" width="7.1640625" customWidth="1"/>
    <col min="6138" max="6138" width="33.1640625" customWidth="1"/>
    <col min="6139" max="6139" width="29.5" customWidth="1"/>
    <col min="6140" max="6140" width="9.5" customWidth="1"/>
    <col min="6141" max="6141" width="9.1640625" customWidth="1"/>
    <col min="6142" max="6142" width="14.83203125" customWidth="1"/>
    <col min="6143" max="6144" width="8.33203125" customWidth="1"/>
    <col min="6151" max="6151" width="2.1640625" customWidth="1"/>
    <col min="6153" max="6153" width="10.1640625" customWidth="1"/>
    <col min="6393" max="6393" width="7.1640625" customWidth="1"/>
    <col min="6394" max="6394" width="33.1640625" customWidth="1"/>
    <col min="6395" max="6395" width="29.5" customWidth="1"/>
    <col min="6396" max="6396" width="9.5" customWidth="1"/>
    <col min="6397" max="6397" width="9.1640625" customWidth="1"/>
    <col min="6398" max="6398" width="14.83203125" customWidth="1"/>
    <col min="6399" max="6400" width="8.33203125" customWidth="1"/>
    <col min="6407" max="6407" width="2.1640625" customWidth="1"/>
    <col min="6409" max="6409" width="10.1640625" customWidth="1"/>
    <col min="6649" max="6649" width="7.1640625" customWidth="1"/>
    <col min="6650" max="6650" width="33.1640625" customWidth="1"/>
    <col min="6651" max="6651" width="29.5" customWidth="1"/>
    <col min="6652" max="6652" width="9.5" customWidth="1"/>
    <col min="6653" max="6653" width="9.1640625" customWidth="1"/>
    <col min="6654" max="6654" width="14.83203125" customWidth="1"/>
    <col min="6655" max="6656" width="8.33203125" customWidth="1"/>
    <col min="6663" max="6663" width="2.1640625" customWidth="1"/>
    <col min="6665" max="6665" width="10.1640625" customWidth="1"/>
    <col min="6905" max="6905" width="7.1640625" customWidth="1"/>
    <col min="6906" max="6906" width="33.1640625" customWidth="1"/>
    <col min="6907" max="6907" width="29.5" customWidth="1"/>
    <col min="6908" max="6908" width="9.5" customWidth="1"/>
    <col min="6909" max="6909" width="9.1640625" customWidth="1"/>
    <col min="6910" max="6910" width="14.83203125" customWidth="1"/>
    <col min="6911" max="6912" width="8.33203125" customWidth="1"/>
    <col min="6919" max="6919" width="2.1640625" customWidth="1"/>
    <col min="6921" max="6921" width="10.1640625" customWidth="1"/>
    <col min="7161" max="7161" width="7.1640625" customWidth="1"/>
    <col min="7162" max="7162" width="33.1640625" customWidth="1"/>
    <col min="7163" max="7163" width="29.5" customWidth="1"/>
    <col min="7164" max="7164" width="9.5" customWidth="1"/>
    <col min="7165" max="7165" width="9.1640625" customWidth="1"/>
    <col min="7166" max="7166" width="14.83203125" customWidth="1"/>
    <col min="7167" max="7168" width="8.33203125" customWidth="1"/>
    <col min="7175" max="7175" width="2.1640625" customWidth="1"/>
    <col min="7177" max="7177" width="10.1640625" customWidth="1"/>
    <col min="7417" max="7417" width="7.1640625" customWidth="1"/>
    <col min="7418" max="7418" width="33.1640625" customWidth="1"/>
    <col min="7419" max="7419" width="29.5" customWidth="1"/>
    <col min="7420" max="7420" width="9.5" customWidth="1"/>
    <col min="7421" max="7421" width="9.1640625" customWidth="1"/>
    <col min="7422" max="7422" width="14.83203125" customWidth="1"/>
    <col min="7423" max="7424" width="8.33203125" customWidth="1"/>
    <col min="7431" max="7431" width="2.1640625" customWidth="1"/>
    <col min="7433" max="7433" width="10.1640625" customWidth="1"/>
    <col min="7673" max="7673" width="7.1640625" customWidth="1"/>
    <col min="7674" max="7674" width="33.1640625" customWidth="1"/>
    <col min="7675" max="7675" width="29.5" customWidth="1"/>
    <col min="7676" max="7676" width="9.5" customWidth="1"/>
    <col min="7677" max="7677" width="9.1640625" customWidth="1"/>
    <col min="7678" max="7678" width="14.83203125" customWidth="1"/>
    <col min="7679" max="7680" width="8.33203125" customWidth="1"/>
    <col min="7687" max="7687" width="2.1640625" customWidth="1"/>
    <col min="7689" max="7689" width="10.1640625" customWidth="1"/>
    <col min="7929" max="7929" width="7.1640625" customWidth="1"/>
    <col min="7930" max="7930" width="33.1640625" customWidth="1"/>
    <col min="7931" max="7931" width="29.5" customWidth="1"/>
    <col min="7932" max="7932" width="9.5" customWidth="1"/>
    <col min="7933" max="7933" width="9.1640625" customWidth="1"/>
    <col min="7934" max="7934" width="14.83203125" customWidth="1"/>
    <col min="7935" max="7936" width="8.33203125" customWidth="1"/>
    <col min="7943" max="7943" width="2.1640625" customWidth="1"/>
    <col min="7945" max="7945" width="10.1640625" customWidth="1"/>
    <col min="8185" max="8185" width="7.1640625" customWidth="1"/>
    <col min="8186" max="8186" width="33.1640625" customWidth="1"/>
    <col min="8187" max="8187" width="29.5" customWidth="1"/>
    <col min="8188" max="8188" width="9.5" customWidth="1"/>
    <col min="8189" max="8189" width="9.1640625" customWidth="1"/>
    <col min="8190" max="8190" width="14.83203125" customWidth="1"/>
    <col min="8191" max="8192" width="8.33203125" customWidth="1"/>
    <col min="8199" max="8199" width="2.1640625" customWidth="1"/>
    <col min="8201" max="8201" width="10.1640625" customWidth="1"/>
    <col min="8441" max="8441" width="7.1640625" customWidth="1"/>
    <col min="8442" max="8442" width="33.1640625" customWidth="1"/>
    <col min="8443" max="8443" width="29.5" customWidth="1"/>
    <col min="8444" max="8444" width="9.5" customWidth="1"/>
    <col min="8445" max="8445" width="9.1640625" customWidth="1"/>
    <col min="8446" max="8446" width="14.83203125" customWidth="1"/>
    <col min="8447" max="8448" width="8.33203125" customWidth="1"/>
    <col min="8455" max="8455" width="2.1640625" customWidth="1"/>
    <col min="8457" max="8457" width="10.1640625" customWidth="1"/>
    <col min="8697" max="8697" width="7.1640625" customWidth="1"/>
    <col min="8698" max="8698" width="33.1640625" customWidth="1"/>
    <col min="8699" max="8699" width="29.5" customWidth="1"/>
    <col min="8700" max="8700" width="9.5" customWidth="1"/>
    <col min="8701" max="8701" width="9.1640625" customWidth="1"/>
    <col min="8702" max="8702" width="14.83203125" customWidth="1"/>
    <col min="8703" max="8704" width="8.33203125" customWidth="1"/>
    <col min="8711" max="8711" width="2.1640625" customWidth="1"/>
    <col min="8713" max="8713" width="10.1640625" customWidth="1"/>
    <col min="8953" max="8953" width="7.1640625" customWidth="1"/>
    <col min="8954" max="8954" width="33.1640625" customWidth="1"/>
    <col min="8955" max="8955" width="29.5" customWidth="1"/>
    <col min="8956" max="8956" width="9.5" customWidth="1"/>
    <col min="8957" max="8957" width="9.1640625" customWidth="1"/>
    <col min="8958" max="8958" width="14.83203125" customWidth="1"/>
    <col min="8959" max="8960" width="8.33203125" customWidth="1"/>
    <col min="8967" max="8967" width="2.1640625" customWidth="1"/>
    <col min="8969" max="8969" width="10.1640625" customWidth="1"/>
    <col min="9209" max="9209" width="7.1640625" customWidth="1"/>
    <col min="9210" max="9210" width="33.1640625" customWidth="1"/>
    <col min="9211" max="9211" width="29.5" customWidth="1"/>
    <col min="9212" max="9212" width="9.5" customWidth="1"/>
    <col min="9213" max="9213" width="9.1640625" customWidth="1"/>
    <col min="9214" max="9214" width="14.83203125" customWidth="1"/>
    <col min="9215" max="9216" width="8.33203125" customWidth="1"/>
    <col min="9223" max="9223" width="2.1640625" customWidth="1"/>
    <col min="9225" max="9225" width="10.1640625" customWidth="1"/>
    <col min="9465" max="9465" width="7.1640625" customWidth="1"/>
    <col min="9466" max="9466" width="33.1640625" customWidth="1"/>
    <col min="9467" max="9467" width="29.5" customWidth="1"/>
    <col min="9468" max="9468" width="9.5" customWidth="1"/>
    <col min="9469" max="9469" width="9.1640625" customWidth="1"/>
    <col min="9470" max="9470" width="14.83203125" customWidth="1"/>
    <col min="9471" max="9472" width="8.33203125" customWidth="1"/>
    <col min="9479" max="9479" width="2.1640625" customWidth="1"/>
    <col min="9481" max="9481" width="10.1640625" customWidth="1"/>
    <col min="9721" max="9721" width="7.1640625" customWidth="1"/>
    <col min="9722" max="9722" width="33.1640625" customWidth="1"/>
    <col min="9723" max="9723" width="29.5" customWidth="1"/>
    <col min="9724" max="9724" width="9.5" customWidth="1"/>
    <col min="9725" max="9725" width="9.1640625" customWidth="1"/>
    <col min="9726" max="9726" width="14.83203125" customWidth="1"/>
    <col min="9727" max="9728" width="8.33203125" customWidth="1"/>
    <col min="9735" max="9735" width="2.1640625" customWidth="1"/>
    <col min="9737" max="9737" width="10.1640625" customWidth="1"/>
    <col min="9977" max="9977" width="7.1640625" customWidth="1"/>
    <col min="9978" max="9978" width="33.1640625" customWidth="1"/>
    <col min="9979" max="9979" width="29.5" customWidth="1"/>
    <col min="9980" max="9980" width="9.5" customWidth="1"/>
    <col min="9981" max="9981" width="9.1640625" customWidth="1"/>
    <col min="9982" max="9982" width="14.83203125" customWidth="1"/>
    <col min="9983" max="9984" width="8.33203125" customWidth="1"/>
    <col min="9991" max="9991" width="2.1640625" customWidth="1"/>
    <col min="9993" max="9993" width="10.1640625" customWidth="1"/>
    <col min="10233" max="10233" width="7.1640625" customWidth="1"/>
    <col min="10234" max="10234" width="33.1640625" customWidth="1"/>
    <col min="10235" max="10235" width="29.5" customWidth="1"/>
    <col min="10236" max="10236" width="9.5" customWidth="1"/>
    <col min="10237" max="10237" width="9.1640625" customWidth="1"/>
    <col min="10238" max="10238" width="14.83203125" customWidth="1"/>
    <col min="10239" max="10240" width="8.33203125" customWidth="1"/>
    <col min="10247" max="10247" width="2.1640625" customWidth="1"/>
    <col min="10249" max="10249" width="10.1640625" customWidth="1"/>
    <col min="10489" max="10489" width="7.1640625" customWidth="1"/>
    <col min="10490" max="10490" width="33.1640625" customWidth="1"/>
    <col min="10491" max="10491" width="29.5" customWidth="1"/>
    <col min="10492" max="10492" width="9.5" customWidth="1"/>
    <col min="10493" max="10493" width="9.1640625" customWidth="1"/>
    <col min="10494" max="10494" width="14.83203125" customWidth="1"/>
    <col min="10495" max="10496" width="8.33203125" customWidth="1"/>
    <col min="10503" max="10503" width="2.1640625" customWidth="1"/>
    <col min="10505" max="10505" width="10.1640625" customWidth="1"/>
    <col min="10745" max="10745" width="7.1640625" customWidth="1"/>
    <col min="10746" max="10746" width="33.1640625" customWidth="1"/>
    <col min="10747" max="10747" width="29.5" customWidth="1"/>
    <col min="10748" max="10748" width="9.5" customWidth="1"/>
    <col min="10749" max="10749" width="9.1640625" customWidth="1"/>
    <col min="10750" max="10750" width="14.83203125" customWidth="1"/>
    <col min="10751" max="10752" width="8.33203125" customWidth="1"/>
    <col min="10759" max="10759" width="2.1640625" customWidth="1"/>
    <col min="10761" max="10761" width="10.1640625" customWidth="1"/>
    <col min="11001" max="11001" width="7.1640625" customWidth="1"/>
    <col min="11002" max="11002" width="33.1640625" customWidth="1"/>
    <col min="11003" max="11003" width="29.5" customWidth="1"/>
    <col min="11004" max="11004" width="9.5" customWidth="1"/>
    <col min="11005" max="11005" width="9.1640625" customWidth="1"/>
    <col min="11006" max="11006" width="14.83203125" customWidth="1"/>
    <col min="11007" max="11008" width="8.33203125" customWidth="1"/>
    <col min="11015" max="11015" width="2.1640625" customWidth="1"/>
    <col min="11017" max="11017" width="10.1640625" customWidth="1"/>
    <col min="11257" max="11257" width="7.1640625" customWidth="1"/>
    <col min="11258" max="11258" width="33.1640625" customWidth="1"/>
    <col min="11259" max="11259" width="29.5" customWidth="1"/>
    <col min="11260" max="11260" width="9.5" customWidth="1"/>
    <col min="11261" max="11261" width="9.1640625" customWidth="1"/>
    <col min="11262" max="11262" width="14.83203125" customWidth="1"/>
    <col min="11263" max="11264" width="8.33203125" customWidth="1"/>
    <col min="11271" max="11271" width="2.1640625" customWidth="1"/>
    <col min="11273" max="11273" width="10.1640625" customWidth="1"/>
    <col min="11513" max="11513" width="7.1640625" customWidth="1"/>
    <col min="11514" max="11514" width="33.1640625" customWidth="1"/>
    <col min="11515" max="11515" width="29.5" customWidth="1"/>
    <col min="11516" max="11516" width="9.5" customWidth="1"/>
    <col min="11517" max="11517" width="9.1640625" customWidth="1"/>
    <col min="11518" max="11518" width="14.83203125" customWidth="1"/>
    <col min="11519" max="11520" width="8.33203125" customWidth="1"/>
    <col min="11527" max="11527" width="2.1640625" customWidth="1"/>
    <col min="11529" max="11529" width="10.1640625" customWidth="1"/>
    <col min="11769" max="11769" width="7.1640625" customWidth="1"/>
    <col min="11770" max="11770" width="33.1640625" customWidth="1"/>
    <col min="11771" max="11771" width="29.5" customWidth="1"/>
    <col min="11772" max="11772" width="9.5" customWidth="1"/>
    <col min="11773" max="11773" width="9.1640625" customWidth="1"/>
    <col min="11774" max="11774" width="14.83203125" customWidth="1"/>
    <col min="11775" max="11776" width="8.33203125" customWidth="1"/>
    <col min="11783" max="11783" width="2.1640625" customWidth="1"/>
    <col min="11785" max="11785" width="10.1640625" customWidth="1"/>
    <col min="12025" max="12025" width="7.1640625" customWidth="1"/>
    <col min="12026" max="12026" width="33.1640625" customWidth="1"/>
    <col min="12027" max="12027" width="29.5" customWidth="1"/>
    <col min="12028" max="12028" width="9.5" customWidth="1"/>
    <col min="12029" max="12029" width="9.1640625" customWidth="1"/>
    <col min="12030" max="12030" width="14.83203125" customWidth="1"/>
    <col min="12031" max="12032" width="8.33203125" customWidth="1"/>
    <col min="12039" max="12039" width="2.1640625" customWidth="1"/>
    <col min="12041" max="12041" width="10.1640625" customWidth="1"/>
    <col min="12281" max="12281" width="7.1640625" customWidth="1"/>
    <col min="12282" max="12282" width="33.1640625" customWidth="1"/>
    <col min="12283" max="12283" width="29.5" customWidth="1"/>
    <col min="12284" max="12284" width="9.5" customWidth="1"/>
    <col min="12285" max="12285" width="9.1640625" customWidth="1"/>
    <col min="12286" max="12286" width="14.83203125" customWidth="1"/>
    <col min="12287" max="12288" width="8.33203125" customWidth="1"/>
    <col min="12295" max="12295" width="2.1640625" customWidth="1"/>
    <col min="12297" max="12297" width="10.1640625" customWidth="1"/>
    <col min="12537" max="12537" width="7.1640625" customWidth="1"/>
    <col min="12538" max="12538" width="33.1640625" customWidth="1"/>
    <col min="12539" max="12539" width="29.5" customWidth="1"/>
    <col min="12540" max="12540" width="9.5" customWidth="1"/>
    <col min="12541" max="12541" width="9.1640625" customWidth="1"/>
    <col min="12542" max="12542" width="14.83203125" customWidth="1"/>
    <col min="12543" max="12544" width="8.33203125" customWidth="1"/>
    <col min="12551" max="12551" width="2.1640625" customWidth="1"/>
    <col min="12553" max="12553" width="10.1640625" customWidth="1"/>
    <col min="12793" max="12793" width="7.1640625" customWidth="1"/>
    <col min="12794" max="12794" width="33.1640625" customWidth="1"/>
    <col min="12795" max="12795" width="29.5" customWidth="1"/>
    <col min="12796" max="12796" width="9.5" customWidth="1"/>
    <col min="12797" max="12797" width="9.1640625" customWidth="1"/>
    <col min="12798" max="12798" width="14.83203125" customWidth="1"/>
    <col min="12799" max="12800" width="8.33203125" customWidth="1"/>
    <col min="12807" max="12807" width="2.1640625" customWidth="1"/>
    <col min="12809" max="12809" width="10.1640625" customWidth="1"/>
    <col min="13049" max="13049" width="7.1640625" customWidth="1"/>
    <col min="13050" max="13050" width="33.1640625" customWidth="1"/>
    <col min="13051" max="13051" width="29.5" customWidth="1"/>
    <col min="13052" max="13052" width="9.5" customWidth="1"/>
    <col min="13053" max="13053" width="9.1640625" customWidth="1"/>
    <col min="13054" max="13054" width="14.83203125" customWidth="1"/>
    <col min="13055" max="13056" width="8.33203125" customWidth="1"/>
    <col min="13063" max="13063" width="2.1640625" customWidth="1"/>
    <col min="13065" max="13065" width="10.1640625" customWidth="1"/>
    <col min="13305" max="13305" width="7.1640625" customWidth="1"/>
    <col min="13306" max="13306" width="33.1640625" customWidth="1"/>
    <col min="13307" max="13307" width="29.5" customWidth="1"/>
    <col min="13308" max="13308" width="9.5" customWidth="1"/>
    <col min="13309" max="13309" width="9.1640625" customWidth="1"/>
    <col min="13310" max="13310" width="14.83203125" customWidth="1"/>
    <col min="13311" max="13312" width="8.33203125" customWidth="1"/>
    <col min="13319" max="13319" width="2.1640625" customWidth="1"/>
    <col min="13321" max="13321" width="10.1640625" customWidth="1"/>
    <col min="13561" max="13561" width="7.1640625" customWidth="1"/>
    <col min="13562" max="13562" width="33.1640625" customWidth="1"/>
    <col min="13563" max="13563" width="29.5" customWidth="1"/>
    <col min="13564" max="13564" width="9.5" customWidth="1"/>
    <col min="13565" max="13565" width="9.1640625" customWidth="1"/>
    <col min="13566" max="13566" width="14.83203125" customWidth="1"/>
    <col min="13567" max="13568" width="8.33203125" customWidth="1"/>
    <col min="13575" max="13575" width="2.1640625" customWidth="1"/>
    <col min="13577" max="13577" width="10.1640625" customWidth="1"/>
    <col min="13817" max="13817" width="7.1640625" customWidth="1"/>
    <col min="13818" max="13818" width="33.1640625" customWidth="1"/>
    <col min="13819" max="13819" width="29.5" customWidth="1"/>
    <col min="13820" max="13820" width="9.5" customWidth="1"/>
    <col min="13821" max="13821" width="9.1640625" customWidth="1"/>
    <col min="13822" max="13822" width="14.83203125" customWidth="1"/>
    <col min="13823" max="13824" width="8.33203125" customWidth="1"/>
    <col min="13831" max="13831" width="2.1640625" customWidth="1"/>
    <col min="13833" max="13833" width="10.1640625" customWidth="1"/>
    <col min="14073" max="14073" width="7.1640625" customWidth="1"/>
    <col min="14074" max="14074" width="33.1640625" customWidth="1"/>
    <col min="14075" max="14075" width="29.5" customWidth="1"/>
    <col min="14076" max="14076" width="9.5" customWidth="1"/>
    <col min="14077" max="14077" width="9.1640625" customWidth="1"/>
    <col min="14078" max="14078" width="14.83203125" customWidth="1"/>
    <col min="14079" max="14080" width="8.33203125" customWidth="1"/>
    <col min="14087" max="14087" width="2.1640625" customWidth="1"/>
    <col min="14089" max="14089" width="10.1640625" customWidth="1"/>
    <col min="14329" max="14329" width="7.1640625" customWidth="1"/>
    <col min="14330" max="14330" width="33.1640625" customWidth="1"/>
    <col min="14331" max="14331" width="29.5" customWidth="1"/>
    <col min="14332" max="14332" width="9.5" customWidth="1"/>
    <col min="14333" max="14333" width="9.1640625" customWidth="1"/>
    <col min="14334" max="14334" width="14.83203125" customWidth="1"/>
    <col min="14335" max="14336" width="8.33203125" customWidth="1"/>
    <col min="14343" max="14343" width="2.1640625" customWidth="1"/>
    <col min="14345" max="14345" width="10.1640625" customWidth="1"/>
    <col min="14585" max="14585" width="7.1640625" customWidth="1"/>
    <col min="14586" max="14586" width="33.1640625" customWidth="1"/>
    <col min="14587" max="14587" width="29.5" customWidth="1"/>
    <col min="14588" max="14588" width="9.5" customWidth="1"/>
    <col min="14589" max="14589" width="9.1640625" customWidth="1"/>
    <col min="14590" max="14590" width="14.83203125" customWidth="1"/>
    <col min="14591" max="14592" width="8.33203125" customWidth="1"/>
    <col min="14599" max="14599" width="2.1640625" customWidth="1"/>
    <col min="14601" max="14601" width="10.1640625" customWidth="1"/>
    <col min="14841" max="14841" width="7.1640625" customWidth="1"/>
    <col min="14842" max="14842" width="33.1640625" customWidth="1"/>
    <col min="14843" max="14843" width="29.5" customWidth="1"/>
    <col min="14844" max="14844" width="9.5" customWidth="1"/>
    <col min="14845" max="14845" width="9.1640625" customWidth="1"/>
    <col min="14846" max="14846" width="14.83203125" customWidth="1"/>
    <col min="14847" max="14848" width="8.33203125" customWidth="1"/>
    <col min="14855" max="14855" width="2.1640625" customWidth="1"/>
    <col min="14857" max="14857" width="10.1640625" customWidth="1"/>
    <col min="15097" max="15097" width="7.1640625" customWidth="1"/>
    <col min="15098" max="15098" width="33.1640625" customWidth="1"/>
    <col min="15099" max="15099" width="29.5" customWidth="1"/>
    <col min="15100" max="15100" width="9.5" customWidth="1"/>
    <col min="15101" max="15101" width="9.1640625" customWidth="1"/>
    <col min="15102" max="15102" width="14.83203125" customWidth="1"/>
    <col min="15103" max="15104" width="8.33203125" customWidth="1"/>
    <col min="15111" max="15111" width="2.1640625" customWidth="1"/>
    <col min="15113" max="15113" width="10.1640625" customWidth="1"/>
    <col min="15353" max="15353" width="7.1640625" customWidth="1"/>
    <col min="15354" max="15354" width="33.1640625" customWidth="1"/>
    <col min="15355" max="15355" width="29.5" customWidth="1"/>
    <col min="15356" max="15356" width="9.5" customWidth="1"/>
    <col min="15357" max="15357" width="9.1640625" customWidth="1"/>
    <col min="15358" max="15358" width="14.83203125" customWidth="1"/>
    <col min="15359" max="15360" width="8.33203125" customWidth="1"/>
    <col min="15367" max="15367" width="2.1640625" customWidth="1"/>
    <col min="15369" max="15369" width="10.1640625" customWidth="1"/>
    <col min="15609" max="15609" width="7.1640625" customWidth="1"/>
    <col min="15610" max="15610" width="33.1640625" customWidth="1"/>
    <col min="15611" max="15611" width="29.5" customWidth="1"/>
    <col min="15612" max="15612" width="9.5" customWidth="1"/>
    <col min="15613" max="15613" width="9.1640625" customWidth="1"/>
    <col min="15614" max="15614" width="14.83203125" customWidth="1"/>
    <col min="15615" max="15616" width="8.33203125" customWidth="1"/>
    <col min="15623" max="15623" width="2.1640625" customWidth="1"/>
    <col min="15625" max="15625" width="10.1640625" customWidth="1"/>
    <col min="15865" max="15865" width="7.1640625" customWidth="1"/>
    <col min="15866" max="15866" width="33.1640625" customWidth="1"/>
    <col min="15867" max="15867" width="29.5" customWidth="1"/>
    <col min="15868" max="15868" width="9.5" customWidth="1"/>
    <col min="15869" max="15869" width="9.1640625" customWidth="1"/>
    <col min="15870" max="15870" width="14.83203125" customWidth="1"/>
    <col min="15871" max="15872" width="8.33203125" customWidth="1"/>
    <col min="15879" max="15879" width="2.1640625" customWidth="1"/>
    <col min="15881" max="15881" width="10.1640625" customWidth="1"/>
    <col min="16121" max="16121" width="7.1640625" customWidth="1"/>
    <col min="16122" max="16122" width="33.1640625" customWidth="1"/>
    <col min="16123" max="16123" width="29.5" customWidth="1"/>
    <col min="16124" max="16124" width="9.5" customWidth="1"/>
    <col min="16125" max="16125" width="9.1640625" customWidth="1"/>
    <col min="16126" max="16126" width="14.83203125" customWidth="1"/>
    <col min="16127" max="16128" width="8.33203125" customWidth="1"/>
    <col min="16135" max="16135" width="2.1640625" customWidth="1"/>
    <col min="16137" max="16137" width="10.1640625" customWidth="1"/>
  </cols>
  <sheetData>
    <row r="1" spans="1:27" ht="23.25" customHeight="1" x14ac:dyDescent="0.25">
      <c r="A1" s="34"/>
      <c r="C1" s="33"/>
      <c r="D1" s="33"/>
      <c r="E1" s="32"/>
      <c r="F1" s="2"/>
      <c r="H1" s="1"/>
      <c r="I1" s="11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16" x14ac:dyDescent="0.2">
      <c r="A2" s="34"/>
      <c r="B2" s="31"/>
      <c r="C2" s="31"/>
      <c r="D2" s="31"/>
      <c r="E2" s="31"/>
      <c r="F2" s="31"/>
      <c r="G2" s="1"/>
      <c r="H2" s="1"/>
      <c r="I2" s="119"/>
      <c r="K2" s="1"/>
      <c r="N2" s="1"/>
      <c r="P2" s="1"/>
    </row>
    <row r="3" spans="1:27" ht="25.5" customHeight="1" x14ac:dyDescent="0.25">
      <c r="A3" s="133"/>
      <c r="B3" s="133"/>
      <c r="C3" s="133"/>
      <c r="D3" s="133"/>
      <c r="E3" s="134"/>
      <c r="F3" s="221" t="s">
        <v>10</v>
      </c>
      <c r="G3" s="222"/>
      <c r="H3" s="223"/>
      <c r="I3" s="135"/>
      <c r="J3" s="136" t="s">
        <v>25</v>
      </c>
      <c r="K3" s="224" t="s">
        <v>11</v>
      </c>
      <c r="L3" s="225"/>
      <c r="M3" s="225"/>
      <c r="N3" s="226"/>
      <c r="O3" s="133"/>
      <c r="P3" s="227">
        <f ca="1">NOW()</f>
        <v>45425.865138657406</v>
      </c>
      <c r="Q3" s="228"/>
      <c r="R3" s="219" t="s">
        <v>12</v>
      </c>
      <c r="S3" s="130"/>
      <c r="T3" s="130"/>
    </row>
    <row r="4" spans="1:27" s="5" customFormat="1" ht="42" x14ac:dyDescent="0.25">
      <c r="A4" s="51" t="s">
        <v>13</v>
      </c>
      <c r="B4" s="51" t="s">
        <v>14</v>
      </c>
      <c r="C4" s="137" t="s">
        <v>0</v>
      </c>
      <c r="D4" s="51" t="s">
        <v>5</v>
      </c>
      <c r="E4" s="51" t="s">
        <v>15</v>
      </c>
      <c r="F4" s="51" t="s">
        <v>1</v>
      </c>
      <c r="G4" s="51" t="s">
        <v>2</v>
      </c>
      <c r="H4" s="51" t="s">
        <v>59</v>
      </c>
      <c r="I4" s="138"/>
      <c r="J4" s="139" t="s">
        <v>3</v>
      </c>
      <c r="K4" s="51" t="s">
        <v>16</v>
      </c>
      <c r="L4" s="51" t="s">
        <v>17</v>
      </c>
      <c r="M4" s="51" t="s">
        <v>18</v>
      </c>
      <c r="N4" s="51" t="s">
        <v>19</v>
      </c>
      <c r="O4" s="133"/>
      <c r="P4" s="51" t="s">
        <v>20</v>
      </c>
      <c r="Q4" s="51" t="s">
        <v>21</v>
      </c>
      <c r="R4" s="220"/>
      <c r="S4" s="130"/>
      <c r="T4" s="30" t="s">
        <v>22</v>
      </c>
      <c r="U4"/>
      <c r="V4" s="29" t="s">
        <v>23</v>
      </c>
      <c r="W4" s="36" t="s">
        <v>26</v>
      </c>
    </row>
    <row r="5" spans="1:27" ht="21" x14ac:dyDescent="0.25">
      <c r="A5" s="140"/>
      <c r="B5" s="141" t="s">
        <v>150</v>
      </c>
      <c r="C5" s="142"/>
      <c r="D5" s="143"/>
      <c r="E5" s="143"/>
      <c r="F5" s="143"/>
      <c r="G5" s="144"/>
      <c r="H5" s="145"/>
      <c r="I5" s="146"/>
      <c r="J5" s="143"/>
      <c r="K5" s="143"/>
      <c r="L5" s="144"/>
      <c r="M5" s="144"/>
      <c r="N5" s="145"/>
      <c r="O5" s="133"/>
      <c r="P5" s="143"/>
      <c r="Q5" s="218"/>
      <c r="R5" s="147" t="str">
        <f>IFERROR(IF(OR(Q5&gt;10,Q5=0),"-",IF(AND((AVERAGE(F5:G5)/V5)&gt;0.55,M5=0,M5&lt;=4 ),"Q","-")),0)</f>
        <v>-</v>
      </c>
      <c r="S5" s="130"/>
      <c r="T5" s="23"/>
      <c r="AA5" s="5"/>
    </row>
    <row r="6" spans="1:27" s="5" customFormat="1" ht="21" x14ac:dyDescent="0.2">
      <c r="A6" s="182">
        <v>1</v>
      </c>
      <c r="B6" s="149" t="s">
        <v>242</v>
      </c>
      <c r="C6" s="149" t="s">
        <v>243</v>
      </c>
      <c r="D6" s="149" t="s">
        <v>244</v>
      </c>
      <c r="E6" s="150"/>
      <c r="F6" s="151">
        <v>145.5</v>
      </c>
      <c r="G6" s="151">
        <v>154</v>
      </c>
      <c r="H6" s="152">
        <f t="shared" ref="H6:H12" si="0">IF(F6=0,0,((AVERAGE(F6:G6))/V6))</f>
        <v>0.59899999999999998</v>
      </c>
      <c r="I6" s="153">
        <f>H6*100</f>
        <v>59.9</v>
      </c>
      <c r="J6" s="154">
        <f>100-I6</f>
        <v>40.1</v>
      </c>
      <c r="K6" s="155">
        <v>4</v>
      </c>
      <c r="L6" s="155">
        <f t="shared" ref="L6:L15" si="1">IF((W6&gt;N6),0,(N6-W6)*0.4)</f>
        <v>0</v>
      </c>
      <c r="M6" s="155">
        <f t="shared" ref="M6:M15" si="2">L6+K6</f>
        <v>4</v>
      </c>
      <c r="N6" s="156">
        <v>64.53</v>
      </c>
      <c r="O6" s="157"/>
      <c r="P6" s="158">
        <f>J6+M6</f>
        <v>44.1</v>
      </c>
      <c r="Q6" s="159">
        <v>3</v>
      </c>
      <c r="R6" s="147" t="str">
        <f>IFERROR(IF(OR(Q6&gt;10,Q6=0),"-",IF(AND((AVERAGE(F6:G6)/V6)&gt;0.55,M6&lt;=4 ),"Q","-")),0)</f>
        <v>Q</v>
      </c>
      <c r="S6" s="129"/>
      <c r="T6" s="128">
        <f>IF(Q6=0,,IF(Q6&gt;10,,11-(Q6)))</f>
        <v>8</v>
      </c>
      <c r="V6" s="16">
        <v>250</v>
      </c>
      <c r="W6" s="16">
        <v>67</v>
      </c>
    </row>
    <row r="7" spans="1:27" s="5" customFormat="1" ht="21" x14ac:dyDescent="0.2">
      <c r="A7" s="182">
        <v>2</v>
      </c>
      <c r="B7" s="149" t="s">
        <v>53</v>
      </c>
      <c r="C7" s="149" t="s">
        <v>245</v>
      </c>
      <c r="D7" s="149" t="s">
        <v>8</v>
      </c>
      <c r="E7" s="150"/>
      <c r="F7" s="151">
        <v>140</v>
      </c>
      <c r="G7" s="151">
        <v>152.5</v>
      </c>
      <c r="H7" s="152">
        <f t="shared" si="0"/>
        <v>0.58499999999999996</v>
      </c>
      <c r="I7" s="153">
        <f t="shared" ref="I7:I15" si="3">H7*100</f>
        <v>58.5</v>
      </c>
      <c r="J7" s="154">
        <f t="shared" ref="J7:J15" si="4">100-I7</f>
        <v>41.5</v>
      </c>
      <c r="K7" s="155" t="s">
        <v>24</v>
      </c>
      <c r="L7" s="155" t="e">
        <f t="shared" si="1"/>
        <v>#VALUE!</v>
      </c>
      <c r="M7" s="155" t="e">
        <f t="shared" si="2"/>
        <v>#VALUE!</v>
      </c>
      <c r="N7" s="156" t="s">
        <v>24</v>
      </c>
      <c r="O7" s="157"/>
      <c r="P7" s="158" t="e">
        <f>J7+M7</f>
        <v>#VALUE!</v>
      </c>
      <c r="Q7" s="159"/>
      <c r="R7" s="147" t="str">
        <f t="shared" ref="R7:R15" si="5">IFERROR(IF(OR(Q7&gt;10,Q7=0),"-",IF(AND((AVERAGE(F7:G7)/V7)&gt;0.55,M7&lt;=4 ),"Q","-")),0)</f>
        <v>-</v>
      </c>
      <c r="S7" s="129"/>
      <c r="T7" s="128">
        <f>IF(Q7=0,,IF(Q7&gt;10,,11-(Q7)))</f>
        <v>0</v>
      </c>
      <c r="V7" s="16">
        <v>250</v>
      </c>
      <c r="W7" s="16">
        <v>67</v>
      </c>
    </row>
    <row r="8" spans="1:27" s="5" customFormat="1" ht="21" x14ac:dyDescent="0.2">
      <c r="A8" s="182">
        <v>3</v>
      </c>
      <c r="B8" s="149" t="s">
        <v>246</v>
      </c>
      <c r="C8" s="149" t="s">
        <v>247</v>
      </c>
      <c r="D8" s="149" t="s">
        <v>8</v>
      </c>
      <c r="E8" s="150"/>
      <c r="F8" s="151">
        <v>154</v>
      </c>
      <c r="G8" s="151">
        <v>170.5</v>
      </c>
      <c r="H8" s="152">
        <f t="shared" si="0"/>
        <v>0.64900000000000002</v>
      </c>
      <c r="I8" s="153">
        <f t="shared" si="3"/>
        <v>64.900000000000006</v>
      </c>
      <c r="J8" s="154">
        <f t="shared" si="4"/>
        <v>35.099999999999994</v>
      </c>
      <c r="K8" s="155">
        <v>0</v>
      </c>
      <c r="L8" s="155">
        <f t="shared" si="1"/>
        <v>12</v>
      </c>
      <c r="M8" s="155">
        <f t="shared" si="2"/>
        <v>12</v>
      </c>
      <c r="N8" s="156">
        <v>97</v>
      </c>
      <c r="O8" s="157"/>
      <c r="P8" s="158">
        <f t="shared" ref="P8:P12" si="6">J8+M8</f>
        <v>47.099999999999994</v>
      </c>
      <c r="Q8" s="159">
        <v>6</v>
      </c>
      <c r="R8" s="147" t="str">
        <f t="shared" si="5"/>
        <v>-</v>
      </c>
      <c r="S8" s="129"/>
      <c r="T8" s="128">
        <f t="shared" ref="T8:T12" si="7">IF(Q8=0,,IF(Q8&gt;10,,11-(Q8)))</f>
        <v>5</v>
      </c>
      <c r="V8" s="16">
        <v>250</v>
      </c>
      <c r="W8" s="16">
        <v>67</v>
      </c>
    </row>
    <row r="9" spans="1:27" s="124" customFormat="1" ht="21" x14ac:dyDescent="0.2">
      <c r="A9" s="206">
        <v>4</v>
      </c>
      <c r="B9" s="160" t="s">
        <v>248</v>
      </c>
      <c r="C9" s="160" t="s">
        <v>129</v>
      </c>
      <c r="D9" s="160" t="s">
        <v>8</v>
      </c>
      <c r="E9" s="161"/>
      <c r="F9" s="162"/>
      <c r="G9" s="162"/>
      <c r="H9" s="163">
        <f t="shared" si="0"/>
        <v>0</v>
      </c>
      <c r="I9" s="164">
        <f t="shared" si="3"/>
        <v>0</v>
      </c>
      <c r="J9" s="165">
        <f t="shared" si="4"/>
        <v>100</v>
      </c>
      <c r="K9" s="166" t="s">
        <v>24</v>
      </c>
      <c r="L9" s="155" t="e">
        <f t="shared" si="1"/>
        <v>#VALUE!</v>
      </c>
      <c r="M9" s="155" t="e">
        <f t="shared" si="2"/>
        <v>#VALUE!</v>
      </c>
      <c r="N9" s="167" t="s">
        <v>331</v>
      </c>
      <c r="O9" s="168"/>
      <c r="P9" s="169" t="e">
        <f t="shared" si="6"/>
        <v>#VALUE!</v>
      </c>
      <c r="Q9" s="170"/>
      <c r="R9" s="147" t="str">
        <f t="shared" si="5"/>
        <v>-</v>
      </c>
      <c r="S9" s="127"/>
      <c r="T9" s="126">
        <f t="shared" si="7"/>
        <v>0</v>
      </c>
      <c r="V9" s="125">
        <v>250</v>
      </c>
      <c r="W9" s="16">
        <v>67</v>
      </c>
    </row>
    <row r="10" spans="1:27" s="5" customFormat="1" ht="21" x14ac:dyDescent="0.2">
      <c r="A10" s="182">
        <v>5</v>
      </c>
      <c r="B10" s="149" t="s">
        <v>52</v>
      </c>
      <c r="C10" s="149" t="s">
        <v>249</v>
      </c>
      <c r="D10" s="149" t="s">
        <v>49</v>
      </c>
      <c r="E10" s="150"/>
      <c r="F10" s="151">
        <v>148</v>
      </c>
      <c r="G10" s="151">
        <v>154.5</v>
      </c>
      <c r="H10" s="152">
        <f t="shared" si="0"/>
        <v>0.60499999999999998</v>
      </c>
      <c r="I10" s="153">
        <f t="shared" si="3"/>
        <v>60.5</v>
      </c>
      <c r="J10" s="154">
        <f t="shared" si="4"/>
        <v>39.5</v>
      </c>
      <c r="K10" s="155">
        <v>0</v>
      </c>
      <c r="L10" s="155">
        <f t="shared" si="1"/>
        <v>6.8759999999999994</v>
      </c>
      <c r="M10" s="155">
        <f t="shared" si="2"/>
        <v>6.8759999999999994</v>
      </c>
      <c r="N10" s="156">
        <v>84.19</v>
      </c>
      <c r="O10" s="157"/>
      <c r="P10" s="158">
        <f t="shared" si="6"/>
        <v>46.375999999999998</v>
      </c>
      <c r="Q10" s="159">
        <v>5</v>
      </c>
      <c r="R10" s="147" t="str">
        <f t="shared" si="5"/>
        <v>-</v>
      </c>
      <c r="S10" s="129"/>
      <c r="T10" s="128">
        <f t="shared" si="7"/>
        <v>6</v>
      </c>
      <c r="V10" s="16">
        <v>250</v>
      </c>
      <c r="W10" s="16">
        <v>67</v>
      </c>
    </row>
    <row r="11" spans="1:27" s="5" customFormat="1" ht="21" x14ac:dyDescent="0.2">
      <c r="A11" s="182">
        <v>6</v>
      </c>
      <c r="B11" s="149" t="s">
        <v>63</v>
      </c>
      <c r="C11" s="149" t="s">
        <v>119</v>
      </c>
      <c r="D11" s="149" t="s">
        <v>8</v>
      </c>
      <c r="E11" s="150"/>
      <c r="F11" s="151">
        <v>158</v>
      </c>
      <c r="G11" s="151">
        <v>168.5</v>
      </c>
      <c r="H11" s="152">
        <f t="shared" si="0"/>
        <v>0.65300000000000002</v>
      </c>
      <c r="I11" s="153">
        <f t="shared" si="3"/>
        <v>65.3</v>
      </c>
      <c r="J11" s="154">
        <f t="shared" si="4"/>
        <v>34.700000000000003</v>
      </c>
      <c r="K11" s="155">
        <v>0</v>
      </c>
      <c r="L11" s="155">
        <f t="shared" si="1"/>
        <v>0</v>
      </c>
      <c r="M11" s="155">
        <f t="shared" si="2"/>
        <v>0</v>
      </c>
      <c r="N11" s="156">
        <v>61.22</v>
      </c>
      <c r="O11" s="157"/>
      <c r="P11" s="158">
        <f t="shared" si="6"/>
        <v>34.700000000000003</v>
      </c>
      <c r="Q11" s="159">
        <v>2</v>
      </c>
      <c r="R11" s="147" t="str">
        <f t="shared" si="5"/>
        <v>Q</v>
      </c>
      <c r="S11" s="129"/>
      <c r="T11" s="128">
        <f t="shared" si="7"/>
        <v>9</v>
      </c>
      <c r="V11" s="16">
        <v>250</v>
      </c>
      <c r="W11" s="16">
        <v>67</v>
      </c>
    </row>
    <row r="12" spans="1:27" s="5" customFormat="1" ht="21" x14ac:dyDescent="0.2">
      <c r="A12" s="182">
        <v>7</v>
      </c>
      <c r="B12" s="149" t="s">
        <v>51</v>
      </c>
      <c r="C12" s="149" t="s">
        <v>149</v>
      </c>
      <c r="D12" s="149" t="s">
        <v>7</v>
      </c>
      <c r="E12" s="150"/>
      <c r="F12" s="151">
        <v>144.5</v>
      </c>
      <c r="G12" s="151">
        <v>154</v>
      </c>
      <c r="H12" s="152">
        <f t="shared" si="0"/>
        <v>0.59699999999999998</v>
      </c>
      <c r="I12" s="153">
        <f t="shared" si="3"/>
        <v>59.699999999999996</v>
      </c>
      <c r="J12" s="154">
        <f t="shared" si="4"/>
        <v>40.300000000000004</v>
      </c>
      <c r="K12" s="155">
        <v>4</v>
      </c>
      <c r="L12" s="155">
        <f t="shared" si="1"/>
        <v>3.4639999999999986</v>
      </c>
      <c r="M12" s="155">
        <f t="shared" si="2"/>
        <v>7.4639999999999986</v>
      </c>
      <c r="N12" s="156">
        <v>75.66</v>
      </c>
      <c r="O12" s="157"/>
      <c r="P12" s="158">
        <f t="shared" si="6"/>
        <v>47.764000000000003</v>
      </c>
      <c r="Q12" s="159">
        <v>7</v>
      </c>
      <c r="R12" s="147" t="str">
        <f t="shared" si="5"/>
        <v>-</v>
      </c>
      <c r="S12" s="129"/>
      <c r="T12" s="128">
        <f t="shared" si="7"/>
        <v>4</v>
      </c>
      <c r="V12" s="16">
        <v>250</v>
      </c>
      <c r="W12" s="16">
        <v>67</v>
      </c>
    </row>
    <row r="13" spans="1:27" s="5" customFormat="1" ht="21" x14ac:dyDescent="0.2">
      <c r="A13" s="182">
        <v>8</v>
      </c>
      <c r="B13" s="149" t="s">
        <v>250</v>
      </c>
      <c r="C13" s="149" t="s">
        <v>251</v>
      </c>
      <c r="D13" s="149" t="s">
        <v>252</v>
      </c>
      <c r="E13" s="150"/>
      <c r="F13" s="151">
        <v>130.5</v>
      </c>
      <c r="G13" s="151">
        <v>143</v>
      </c>
      <c r="H13" s="152">
        <f t="shared" ref="H13:H15" si="8">IF(F13=0,0,((AVERAGE(F13:G13))/V13))</f>
        <v>0.54700000000000004</v>
      </c>
      <c r="I13" s="153">
        <f t="shared" si="3"/>
        <v>54.7</v>
      </c>
      <c r="J13" s="154">
        <f t="shared" si="4"/>
        <v>45.3</v>
      </c>
      <c r="K13" s="155">
        <v>0</v>
      </c>
      <c r="L13" s="155">
        <f t="shared" si="1"/>
        <v>0</v>
      </c>
      <c r="M13" s="155">
        <f t="shared" si="2"/>
        <v>0</v>
      </c>
      <c r="N13" s="156">
        <v>63.97</v>
      </c>
      <c r="O13" s="157"/>
      <c r="P13" s="158">
        <f t="shared" ref="P13:P15" si="9">J13+M13</f>
        <v>45.3</v>
      </c>
      <c r="Q13" s="159">
        <v>4</v>
      </c>
      <c r="R13" s="147" t="str">
        <f t="shared" si="5"/>
        <v>-</v>
      </c>
      <c r="S13" s="129"/>
      <c r="T13" s="128">
        <f t="shared" ref="T13:T15" si="10">IF(Q13=0,,IF(Q13&gt;10,,11-(Q13)))</f>
        <v>7</v>
      </c>
      <c r="V13" s="16">
        <v>250</v>
      </c>
      <c r="W13" s="16">
        <v>67</v>
      </c>
    </row>
    <row r="14" spans="1:27" s="5" customFormat="1" ht="21" x14ac:dyDescent="0.2">
      <c r="A14" s="182">
        <v>9</v>
      </c>
      <c r="B14" s="149" t="s">
        <v>253</v>
      </c>
      <c r="C14" s="149" t="s">
        <v>254</v>
      </c>
      <c r="D14" s="149" t="s">
        <v>7</v>
      </c>
      <c r="E14" s="150"/>
      <c r="F14" s="151">
        <v>162.5</v>
      </c>
      <c r="G14" s="151">
        <v>165</v>
      </c>
      <c r="H14" s="152">
        <f t="shared" si="8"/>
        <v>0.65500000000000003</v>
      </c>
      <c r="I14" s="153">
        <f t="shared" si="3"/>
        <v>65.5</v>
      </c>
      <c r="J14" s="154">
        <f t="shared" si="4"/>
        <v>34.5</v>
      </c>
      <c r="K14" s="155">
        <v>4</v>
      </c>
      <c r="L14" s="155">
        <f t="shared" si="1"/>
        <v>9.5839999999999979</v>
      </c>
      <c r="M14" s="155">
        <f t="shared" si="2"/>
        <v>13.583999999999998</v>
      </c>
      <c r="N14" s="156">
        <v>90.96</v>
      </c>
      <c r="O14" s="157"/>
      <c r="P14" s="158">
        <f t="shared" si="9"/>
        <v>48.083999999999996</v>
      </c>
      <c r="Q14" s="159">
        <v>8</v>
      </c>
      <c r="R14" s="147" t="str">
        <f t="shared" si="5"/>
        <v>-</v>
      </c>
      <c r="S14" s="129"/>
      <c r="T14" s="128">
        <f t="shared" si="10"/>
        <v>3</v>
      </c>
      <c r="V14" s="16">
        <v>250</v>
      </c>
      <c r="W14" s="16">
        <v>67</v>
      </c>
    </row>
    <row r="15" spans="1:27" s="5" customFormat="1" ht="21" x14ac:dyDescent="0.2">
      <c r="A15" s="182">
        <v>10</v>
      </c>
      <c r="B15" s="149" t="s">
        <v>242</v>
      </c>
      <c r="C15" s="149" t="s">
        <v>255</v>
      </c>
      <c r="D15" s="149" t="s">
        <v>244</v>
      </c>
      <c r="E15" s="150"/>
      <c r="F15" s="151">
        <v>161</v>
      </c>
      <c r="G15" s="151">
        <v>167.5</v>
      </c>
      <c r="H15" s="152">
        <f t="shared" si="8"/>
        <v>0.65700000000000003</v>
      </c>
      <c r="I15" s="153">
        <f t="shared" si="3"/>
        <v>65.7</v>
      </c>
      <c r="J15" s="154">
        <f t="shared" si="4"/>
        <v>34.299999999999997</v>
      </c>
      <c r="K15" s="155">
        <v>0</v>
      </c>
      <c r="L15" s="155">
        <f t="shared" si="1"/>
        <v>0</v>
      </c>
      <c r="M15" s="155">
        <f t="shared" si="2"/>
        <v>0</v>
      </c>
      <c r="N15" s="156">
        <v>61.41</v>
      </c>
      <c r="O15" s="157"/>
      <c r="P15" s="158">
        <f t="shared" si="9"/>
        <v>34.299999999999997</v>
      </c>
      <c r="Q15" s="159">
        <v>1</v>
      </c>
      <c r="R15" s="147" t="str">
        <f t="shared" si="5"/>
        <v>Q</v>
      </c>
      <c r="S15" s="129"/>
      <c r="T15" s="128">
        <f t="shared" si="10"/>
        <v>10</v>
      </c>
      <c r="V15" s="16">
        <v>250</v>
      </c>
      <c r="W15" s="16">
        <v>67</v>
      </c>
    </row>
    <row r="16" spans="1:27" s="5" customFormat="1" ht="21" x14ac:dyDescent="0.2">
      <c r="A16" s="148"/>
      <c r="B16" s="171"/>
      <c r="C16" s="171"/>
      <c r="D16" s="171"/>
      <c r="E16" s="150"/>
      <c r="F16" s="151"/>
      <c r="G16" s="151"/>
      <c r="H16" s="152"/>
      <c r="I16" s="172"/>
      <c r="J16" s="173"/>
      <c r="K16" s="155"/>
      <c r="L16" s="155"/>
      <c r="M16" s="155"/>
      <c r="N16" s="156"/>
      <c r="O16" s="157"/>
      <c r="P16" s="158"/>
      <c r="Q16" s="159"/>
      <c r="R16" s="147"/>
      <c r="S16" s="129"/>
      <c r="T16" s="128"/>
      <c r="V16" s="16"/>
      <c r="W16" s="16"/>
    </row>
    <row r="17" spans="1:27" ht="21" x14ac:dyDescent="0.25">
      <c r="A17" s="140"/>
      <c r="B17" s="141" t="s">
        <v>151</v>
      </c>
      <c r="C17" s="174"/>
      <c r="D17" s="143"/>
      <c r="E17" s="143"/>
      <c r="F17" s="143"/>
      <c r="G17" s="144"/>
      <c r="H17" s="145"/>
      <c r="I17" s="146"/>
      <c r="J17" s="143"/>
      <c r="K17" s="143"/>
      <c r="L17" s="144"/>
      <c r="M17" s="144"/>
      <c r="N17" s="145"/>
      <c r="O17" s="133"/>
      <c r="P17" s="175"/>
      <c r="Q17" s="176"/>
      <c r="R17" s="147" t="str">
        <f t="shared" ref="R17" si="11">IFERROR(IF(OR(Q17&gt;10,Q17=0),"-",IF(AND((AVERAGE(F17:G17)/V17)&gt;0.55,M17=0),"Q","-")),0)</f>
        <v>-</v>
      </c>
      <c r="S17" s="130"/>
      <c r="T17" s="23"/>
      <c r="Z17" s="5"/>
      <c r="AA17" s="5"/>
    </row>
    <row r="18" spans="1:27" s="5" customFormat="1" ht="21" x14ac:dyDescent="0.2">
      <c r="A18" s="182">
        <v>21</v>
      </c>
      <c r="B18" s="149" t="s">
        <v>256</v>
      </c>
      <c r="C18" s="149" t="s">
        <v>257</v>
      </c>
      <c r="D18" s="149" t="s">
        <v>258</v>
      </c>
      <c r="E18" s="150"/>
      <c r="F18" s="151">
        <v>162.5</v>
      </c>
      <c r="G18" s="151">
        <v>168</v>
      </c>
      <c r="H18" s="152">
        <f t="shared" ref="H18:H23" si="12">IF(F18=0,0,((AVERAGE(F18:G18))/V18))</f>
        <v>0.59017857142857144</v>
      </c>
      <c r="I18" s="153">
        <f t="shared" ref="I18:I23" si="13">H18*100</f>
        <v>59.017857142857146</v>
      </c>
      <c r="J18" s="154">
        <f t="shared" ref="J18:J23" si="14">100-I18</f>
        <v>40.982142857142854</v>
      </c>
      <c r="K18" s="155">
        <v>0</v>
      </c>
      <c r="L18" s="155">
        <f t="shared" ref="L18:L23" si="15">IF((W18&gt;N18),0,(N18-W18)*0.4)</f>
        <v>0</v>
      </c>
      <c r="M18" s="155">
        <f t="shared" ref="M18:M23" si="16">L18+K18</f>
        <v>0</v>
      </c>
      <c r="N18" s="156">
        <v>54.6</v>
      </c>
      <c r="O18" s="157"/>
      <c r="P18" s="158">
        <f t="shared" ref="P18:P23" si="17">J18+M18</f>
        <v>40.982142857142854</v>
      </c>
      <c r="Q18" s="159">
        <v>3</v>
      </c>
      <c r="R18" s="147" t="str">
        <f t="shared" ref="R18:R23" si="18">IFERROR(IF(OR(Q18&gt;10,Q18=0),"-",IF(AND((AVERAGE(F18:G18)/V18)&gt;0.55,M18&lt;=4 ),"Q","-")),0)</f>
        <v>Q</v>
      </c>
      <c r="S18" s="129"/>
      <c r="T18" s="128">
        <f t="shared" ref="T18:T23" si="19">IF(Q18=0,,IF(Q18&gt;10,,11-(Q18)))</f>
        <v>8</v>
      </c>
      <c r="V18" s="16">
        <v>280</v>
      </c>
      <c r="W18" s="16">
        <v>67</v>
      </c>
    </row>
    <row r="19" spans="1:27" s="5" customFormat="1" ht="21" x14ac:dyDescent="0.2">
      <c r="A19" s="182">
        <v>16</v>
      </c>
      <c r="B19" s="149" t="s">
        <v>259</v>
      </c>
      <c r="C19" s="149" t="s">
        <v>260</v>
      </c>
      <c r="D19" s="149" t="s">
        <v>258</v>
      </c>
      <c r="E19" s="150"/>
      <c r="F19" s="151">
        <v>187</v>
      </c>
      <c r="G19" s="151">
        <v>167</v>
      </c>
      <c r="H19" s="152">
        <f t="shared" si="12"/>
        <v>0.63214285714285712</v>
      </c>
      <c r="I19" s="153">
        <f t="shared" si="13"/>
        <v>63.214285714285708</v>
      </c>
      <c r="J19" s="154">
        <f t="shared" si="14"/>
        <v>36.785714285714292</v>
      </c>
      <c r="K19" s="155">
        <v>4</v>
      </c>
      <c r="L19" s="155">
        <f t="shared" si="15"/>
        <v>1.6879999999999997</v>
      </c>
      <c r="M19" s="155">
        <f t="shared" si="16"/>
        <v>5.6879999999999997</v>
      </c>
      <c r="N19" s="156">
        <v>71.22</v>
      </c>
      <c r="O19" s="157"/>
      <c r="P19" s="158">
        <f t="shared" si="17"/>
        <v>42.473714285714294</v>
      </c>
      <c r="Q19" s="159">
        <v>4</v>
      </c>
      <c r="R19" s="147" t="str">
        <f t="shared" si="18"/>
        <v>-</v>
      </c>
      <c r="S19" s="129"/>
      <c r="T19" s="128">
        <f t="shared" si="19"/>
        <v>7</v>
      </c>
      <c r="V19" s="16">
        <v>280</v>
      </c>
      <c r="W19" s="16">
        <v>67</v>
      </c>
    </row>
    <row r="20" spans="1:27" s="5" customFormat="1" ht="21" x14ac:dyDescent="0.2">
      <c r="A20" s="182">
        <v>19</v>
      </c>
      <c r="B20" s="149" t="s">
        <v>261</v>
      </c>
      <c r="C20" s="149" t="s">
        <v>262</v>
      </c>
      <c r="D20" s="149" t="s">
        <v>258</v>
      </c>
      <c r="E20" s="150"/>
      <c r="F20" s="151">
        <v>173</v>
      </c>
      <c r="G20" s="151">
        <v>167</v>
      </c>
      <c r="H20" s="152">
        <f t="shared" si="12"/>
        <v>0.6071428571428571</v>
      </c>
      <c r="I20" s="153">
        <f t="shared" si="13"/>
        <v>60.714285714285708</v>
      </c>
      <c r="J20" s="154">
        <f t="shared" si="14"/>
        <v>39.285714285714292</v>
      </c>
      <c r="K20" s="155">
        <v>4</v>
      </c>
      <c r="L20" s="155">
        <f t="shared" si="15"/>
        <v>0</v>
      </c>
      <c r="M20" s="155">
        <f t="shared" si="16"/>
        <v>4</v>
      </c>
      <c r="N20" s="156">
        <v>56.16</v>
      </c>
      <c r="O20" s="157"/>
      <c r="P20" s="158">
        <f t="shared" si="17"/>
        <v>43.285714285714292</v>
      </c>
      <c r="Q20" s="159">
        <v>5</v>
      </c>
      <c r="R20" s="147" t="str">
        <f t="shared" si="18"/>
        <v>Q</v>
      </c>
      <c r="S20" s="129"/>
      <c r="T20" s="128">
        <f t="shared" si="19"/>
        <v>6</v>
      </c>
      <c r="V20" s="16">
        <v>280</v>
      </c>
      <c r="W20" s="16">
        <v>67</v>
      </c>
    </row>
    <row r="21" spans="1:27" s="5" customFormat="1" ht="21" x14ac:dyDescent="0.2">
      <c r="A21" s="182">
        <v>22</v>
      </c>
      <c r="B21" s="149" t="s">
        <v>83</v>
      </c>
      <c r="C21" s="149" t="s">
        <v>263</v>
      </c>
      <c r="D21" s="149" t="s">
        <v>9</v>
      </c>
      <c r="E21" s="150"/>
      <c r="F21" s="151">
        <v>171</v>
      </c>
      <c r="G21" s="151">
        <v>167</v>
      </c>
      <c r="H21" s="152">
        <f t="shared" si="12"/>
        <v>0.60357142857142854</v>
      </c>
      <c r="I21" s="153">
        <f t="shared" si="13"/>
        <v>60.357142857142854</v>
      </c>
      <c r="J21" s="154">
        <f t="shared" si="14"/>
        <v>39.642857142857146</v>
      </c>
      <c r="K21" s="155">
        <v>0</v>
      </c>
      <c r="L21" s="155">
        <f t="shared" si="15"/>
        <v>0</v>
      </c>
      <c r="M21" s="155">
        <f t="shared" si="16"/>
        <v>0</v>
      </c>
      <c r="N21" s="156">
        <v>58</v>
      </c>
      <c r="O21" s="157"/>
      <c r="P21" s="158">
        <f t="shared" si="17"/>
        <v>39.642857142857146</v>
      </c>
      <c r="Q21" s="159">
        <v>2</v>
      </c>
      <c r="R21" s="147" t="str">
        <f t="shared" si="18"/>
        <v>Q</v>
      </c>
      <c r="S21" s="129"/>
      <c r="T21" s="128">
        <f t="shared" si="19"/>
        <v>9</v>
      </c>
      <c r="V21" s="16">
        <v>280</v>
      </c>
      <c r="W21" s="16">
        <v>67</v>
      </c>
    </row>
    <row r="22" spans="1:27" s="5" customFormat="1" ht="21" x14ac:dyDescent="0.2">
      <c r="A22" s="182">
        <v>15</v>
      </c>
      <c r="B22" s="149" t="s">
        <v>264</v>
      </c>
      <c r="C22" s="149" t="s">
        <v>265</v>
      </c>
      <c r="D22" s="149" t="s">
        <v>49</v>
      </c>
      <c r="E22" s="150"/>
      <c r="F22" s="151">
        <v>170</v>
      </c>
      <c r="G22" s="151">
        <v>163.5</v>
      </c>
      <c r="H22" s="152">
        <f t="shared" si="12"/>
        <v>0.59553571428571428</v>
      </c>
      <c r="I22" s="153">
        <f t="shared" si="13"/>
        <v>59.553571428571431</v>
      </c>
      <c r="J22" s="154">
        <f t="shared" si="14"/>
        <v>40.446428571428569</v>
      </c>
      <c r="K22" s="155" t="s">
        <v>24</v>
      </c>
      <c r="L22" s="155" t="e">
        <f t="shared" si="15"/>
        <v>#VALUE!</v>
      </c>
      <c r="M22" s="155" t="e">
        <f t="shared" si="16"/>
        <v>#VALUE!</v>
      </c>
      <c r="N22" s="156" t="s">
        <v>24</v>
      </c>
      <c r="O22" s="157"/>
      <c r="P22" s="158" t="s">
        <v>24</v>
      </c>
      <c r="Q22" s="159"/>
      <c r="R22" s="147" t="str">
        <f t="shared" si="18"/>
        <v>-</v>
      </c>
      <c r="S22" s="129"/>
      <c r="T22" s="128">
        <f t="shared" si="19"/>
        <v>0</v>
      </c>
      <c r="V22" s="16">
        <v>280</v>
      </c>
      <c r="W22" s="16">
        <v>67</v>
      </c>
    </row>
    <row r="23" spans="1:27" s="5" customFormat="1" ht="21" x14ac:dyDescent="0.2">
      <c r="A23" s="182">
        <v>23</v>
      </c>
      <c r="B23" s="149" t="s">
        <v>256</v>
      </c>
      <c r="C23" s="149" t="s">
        <v>266</v>
      </c>
      <c r="D23" s="149" t="s">
        <v>258</v>
      </c>
      <c r="E23" s="150"/>
      <c r="F23" s="151">
        <v>191.5</v>
      </c>
      <c r="G23" s="151">
        <v>191</v>
      </c>
      <c r="H23" s="152">
        <f t="shared" si="12"/>
        <v>0.6830357142857143</v>
      </c>
      <c r="I23" s="153">
        <f t="shared" si="13"/>
        <v>68.303571428571431</v>
      </c>
      <c r="J23" s="154">
        <f t="shared" si="14"/>
        <v>31.696428571428569</v>
      </c>
      <c r="K23" s="155">
        <v>0</v>
      </c>
      <c r="L23" s="155">
        <f t="shared" si="15"/>
        <v>0</v>
      </c>
      <c r="M23" s="155">
        <f t="shared" si="16"/>
        <v>0</v>
      </c>
      <c r="N23" s="156">
        <v>52.5</v>
      </c>
      <c r="O23" s="157"/>
      <c r="P23" s="158">
        <f t="shared" si="17"/>
        <v>31.696428571428569</v>
      </c>
      <c r="Q23" s="159">
        <v>1</v>
      </c>
      <c r="R23" s="147" t="str">
        <f t="shared" si="18"/>
        <v>Q</v>
      </c>
      <c r="S23" s="129"/>
      <c r="T23" s="128">
        <f t="shared" si="19"/>
        <v>10</v>
      </c>
      <c r="V23" s="16">
        <v>280</v>
      </c>
      <c r="W23" s="16">
        <v>67</v>
      </c>
    </row>
    <row r="24" spans="1:27" s="5" customFormat="1" ht="21" x14ac:dyDescent="0.2">
      <c r="A24" s="148"/>
      <c r="B24" s="149"/>
      <c r="C24" s="149"/>
      <c r="D24" s="149"/>
      <c r="E24" s="177"/>
      <c r="F24" s="151"/>
      <c r="G24" s="151"/>
      <c r="H24" s="152"/>
      <c r="I24" s="172"/>
      <c r="J24" s="173"/>
      <c r="K24" s="155"/>
      <c r="L24" s="155"/>
      <c r="M24" s="155"/>
      <c r="N24" s="156"/>
      <c r="O24" s="157"/>
      <c r="P24" s="158"/>
      <c r="Q24" s="159"/>
      <c r="R24" s="147"/>
      <c r="S24" s="129"/>
      <c r="T24" s="128"/>
      <c r="V24" s="16"/>
      <c r="W24" s="16"/>
    </row>
    <row r="25" spans="1:27" ht="21" x14ac:dyDescent="0.25">
      <c r="A25" s="140"/>
      <c r="B25" s="141" t="s">
        <v>277</v>
      </c>
      <c r="C25" s="174"/>
      <c r="D25" s="143"/>
      <c r="E25" s="143"/>
      <c r="F25" s="143"/>
      <c r="G25" s="144"/>
      <c r="H25" s="145"/>
      <c r="I25" s="146"/>
      <c r="J25" s="143"/>
      <c r="K25" s="143"/>
      <c r="L25" s="144"/>
      <c r="M25" s="144"/>
      <c r="N25" s="145"/>
      <c r="O25" s="133"/>
      <c r="P25" s="175"/>
      <c r="Q25" s="176"/>
      <c r="R25" s="24"/>
      <c r="S25" s="130"/>
      <c r="T25" s="23"/>
      <c r="Z25" s="5"/>
      <c r="AA25" s="5"/>
    </row>
    <row r="26" spans="1:27" s="5" customFormat="1" ht="21" x14ac:dyDescent="0.2">
      <c r="A26" s="182">
        <v>74</v>
      </c>
      <c r="B26" s="149" t="s">
        <v>267</v>
      </c>
      <c r="C26" s="149" t="s">
        <v>268</v>
      </c>
      <c r="D26" s="149" t="s">
        <v>9</v>
      </c>
      <c r="E26" s="150"/>
      <c r="F26" s="151">
        <v>181.5</v>
      </c>
      <c r="G26" s="151">
        <v>174.5</v>
      </c>
      <c r="H26" s="152">
        <f t="shared" ref="H26:H31" si="20">IF(F26=0,0,((AVERAGE(F26:G26))/V26))</f>
        <v>0.63571428571428568</v>
      </c>
      <c r="I26" s="153">
        <f t="shared" ref="I26:I31" si="21">H26*100</f>
        <v>63.571428571428569</v>
      </c>
      <c r="J26" s="154">
        <f t="shared" ref="J26:J31" si="22">100-I26</f>
        <v>36.428571428571431</v>
      </c>
      <c r="K26" s="155" t="s">
        <v>24</v>
      </c>
      <c r="L26" s="155">
        <f>IF((W26&gt;N26),0,(N26-W26)*0.4)</f>
        <v>0</v>
      </c>
      <c r="M26" s="155" t="e">
        <f t="shared" ref="M26" si="23">L26+K26</f>
        <v>#VALUE!</v>
      </c>
      <c r="N26" s="156"/>
      <c r="O26" s="157"/>
      <c r="P26" s="158" t="e">
        <f t="shared" ref="P26:P31" si="24">J26+M26</f>
        <v>#VALUE!</v>
      </c>
      <c r="Q26" s="159" t="s">
        <v>24</v>
      </c>
      <c r="R26" s="147" t="str">
        <f t="shared" ref="R26:R31" si="25">IFERROR(IF(OR(Q26&gt;10,Q26=0),"-",IF(AND((AVERAGE(F26:G26)/V26)&gt;0.55,M26&lt;=4 ),"Q","-")),0)</f>
        <v>-</v>
      </c>
      <c r="S26" s="129"/>
      <c r="T26" s="128">
        <f t="shared" ref="T26:T31" si="26">IF(Q26=0,,IF(Q26&gt;10,,11-(Q26)))</f>
        <v>0</v>
      </c>
      <c r="V26" s="16">
        <v>280</v>
      </c>
      <c r="W26" s="16">
        <v>67</v>
      </c>
    </row>
    <row r="27" spans="1:27" s="5" customFormat="1" ht="21" x14ac:dyDescent="0.2">
      <c r="A27" s="182">
        <v>24</v>
      </c>
      <c r="B27" s="149" t="s">
        <v>174</v>
      </c>
      <c r="C27" s="149" t="s">
        <v>175</v>
      </c>
      <c r="D27" s="149" t="s">
        <v>179</v>
      </c>
      <c r="E27" s="150"/>
      <c r="F27" s="151">
        <v>185.5</v>
      </c>
      <c r="G27" s="151">
        <v>186.5</v>
      </c>
      <c r="H27" s="152">
        <f t="shared" si="20"/>
        <v>0.66428571428571426</v>
      </c>
      <c r="I27" s="153">
        <f t="shared" si="21"/>
        <v>66.428571428571431</v>
      </c>
      <c r="J27" s="154">
        <f t="shared" si="22"/>
        <v>33.571428571428569</v>
      </c>
      <c r="K27" s="155">
        <v>0</v>
      </c>
      <c r="L27" s="155">
        <f>IF((W27&gt;N27),0,(N27-W27)*0.4)</f>
        <v>0</v>
      </c>
      <c r="M27" s="155">
        <f t="shared" ref="M27:M31" si="27">L27+K27</f>
        <v>0</v>
      </c>
      <c r="N27" s="156">
        <v>63.19</v>
      </c>
      <c r="O27" s="157"/>
      <c r="P27" s="158">
        <f t="shared" si="24"/>
        <v>33.571428571428569</v>
      </c>
      <c r="Q27" s="159">
        <v>1</v>
      </c>
      <c r="R27" s="147" t="str">
        <f t="shared" si="25"/>
        <v>Q</v>
      </c>
      <c r="S27" s="129"/>
      <c r="T27" s="128">
        <f t="shared" si="26"/>
        <v>10</v>
      </c>
      <c r="V27" s="16">
        <v>280</v>
      </c>
      <c r="W27" s="16">
        <v>67</v>
      </c>
    </row>
    <row r="28" spans="1:27" s="5" customFormat="1" ht="21" x14ac:dyDescent="0.2">
      <c r="A28" s="182">
        <v>27</v>
      </c>
      <c r="B28" s="149" t="s">
        <v>269</v>
      </c>
      <c r="C28" s="149" t="s">
        <v>270</v>
      </c>
      <c r="D28" s="149" t="s">
        <v>252</v>
      </c>
      <c r="E28" s="150"/>
      <c r="F28" s="151">
        <v>195.5</v>
      </c>
      <c r="G28" s="151">
        <v>195.5</v>
      </c>
      <c r="H28" s="152">
        <f t="shared" si="20"/>
        <v>0.69821428571428568</v>
      </c>
      <c r="I28" s="153">
        <f t="shared" si="21"/>
        <v>69.821428571428569</v>
      </c>
      <c r="J28" s="154">
        <f t="shared" si="22"/>
        <v>30.178571428571431</v>
      </c>
      <c r="K28" s="155">
        <v>4</v>
      </c>
      <c r="L28" s="155">
        <f t="shared" ref="L28:L31" si="28">IF((W28&gt;N28),0,(N28-W28)*0.4)</f>
        <v>0</v>
      </c>
      <c r="M28" s="155">
        <f t="shared" si="27"/>
        <v>4</v>
      </c>
      <c r="N28" s="156">
        <v>61.25</v>
      </c>
      <c r="O28" s="157"/>
      <c r="P28" s="158">
        <f t="shared" si="24"/>
        <v>34.178571428571431</v>
      </c>
      <c r="Q28" s="159">
        <v>2</v>
      </c>
      <c r="R28" s="147" t="str">
        <f t="shared" si="25"/>
        <v>Q</v>
      </c>
      <c r="S28" s="129"/>
      <c r="T28" s="128">
        <f t="shared" si="26"/>
        <v>9</v>
      </c>
      <c r="V28" s="16">
        <v>280</v>
      </c>
      <c r="W28" s="16">
        <v>67</v>
      </c>
    </row>
    <row r="29" spans="1:27" s="5" customFormat="1" ht="21" x14ac:dyDescent="0.25">
      <c r="A29" s="182">
        <v>29</v>
      </c>
      <c r="B29" s="149" t="s">
        <v>138</v>
      </c>
      <c r="C29" s="178" t="s">
        <v>271</v>
      </c>
      <c r="D29" s="178" t="s">
        <v>8</v>
      </c>
      <c r="E29" s="150"/>
      <c r="F29" s="151">
        <v>173.5</v>
      </c>
      <c r="G29" s="151">
        <v>162.5</v>
      </c>
      <c r="H29" s="152">
        <f t="shared" si="20"/>
        <v>0.6</v>
      </c>
      <c r="I29" s="153">
        <f t="shared" si="21"/>
        <v>60</v>
      </c>
      <c r="J29" s="154">
        <f t="shared" si="22"/>
        <v>40</v>
      </c>
      <c r="K29" s="155">
        <v>0</v>
      </c>
      <c r="L29" s="155">
        <f t="shared" si="28"/>
        <v>1.8759999999999992</v>
      </c>
      <c r="M29" s="155">
        <f t="shared" si="27"/>
        <v>1.8759999999999992</v>
      </c>
      <c r="N29" s="156">
        <v>71.69</v>
      </c>
      <c r="O29" s="157"/>
      <c r="P29" s="158">
        <f t="shared" si="24"/>
        <v>41.875999999999998</v>
      </c>
      <c r="Q29" s="159">
        <v>4</v>
      </c>
      <c r="R29" s="147" t="str">
        <f t="shared" si="25"/>
        <v>Q</v>
      </c>
      <c r="S29" s="129"/>
      <c r="T29" s="128">
        <f t="shared" si="26"/>
        <v>7</v>
      </c>
      <c r="V29" s="16">
        <v>280</v>
      </c>
      <c r="W29" s="16">
        <v>67</v>
      </c>
    </row>
    <row r="30" spans="1:27" s="5" customFormat="1" ht="21" x14ac:dyDescent="0.2">
      <c r="A30" s="182">
        <v>76</v>
      </c>
      <c r="B30" s="149" t="s">
        <v>272</v>
      </c>
      <c r="C30" s="149" t="s">
        <v>273</v>
      </c>
      <c r="D30" s="149" t="s">
        <v>274</v>
      </c>
      <c r="E30" s="177"/>
      <c r="F30" s="151">
        <v>171</v>
      </c>
      <c r="G30" s="151">
        <v>162.5</v>
      </c>
      <c r="H30" s="152">
        <f t="shared" si="20"/>
        <v>0.59553571428571428</v>
      </c>
      <c r="I30" s="153">
        <f t="shared" si="21"/>
        <v>59.553571428571431</v>
      </c>
      <c r="J30" s="154">
        <f t="shared" si="22"/>
        <v>40.446428571428569</v>
      </c>
      <c r="K30" s="155" t="s">
        <v>24</v>
      </c>
      <c r="L30" s="155">
        <f t="shared" si="28"/>
        <v>0</v>
      </c>
      <c r="M30" s="155" t="e">
        <f t="shared" si="27"/>
        <v>#VALUE!</v>
      </c>
      <c r="N30" s="156"/>
      <c r="O30" s="157"/>
      <c r="P30" s="158" t="e">
        <f t="shared" si="24"/>
        <v>#VALUE!</v>
      </c>
      <c r="Q30" s="159" t="s">
        <v>24</v>
      </c>
      <c r="R30" s="147" t="str">
        <f t="shared" si="25"/>
        <v>-</v>
      </c>
      <c r="S30" s="129"/>
      <c r="T30" s="128">
        <f t="shared" si="26"/>
        <v>0</v>
      </c>
      <c r="V30" s="16">
        <v>280</v>
      </c>
      <c r="W30" s="16">
        <v>67</v>
      </c>
    </row>
    <row r="31" spans="1:27" s="5" customFormat="1" ht="21" x14ac:dyDescent="0.2">
      <c r="A31" s="182">
        <v>77</v>
      </c>
      <c r="B31" s="149" t="s">
        <v>275</v>
      </c>
      <c r="C31" s="149" t="s">
        <v>276</v>
      </c>
      <c r="D31" s="149" t="s">
        <v>244</v>
      </c>
      <c r="E31" s="150"/>
      <c r="F31" s="151">
        <v>178</v>
      </c>
      <c r="G31" s="151">
        <v>170</v>
      </c>
      <c r="H31" s="152">
        <f t="shared" si="20"/>
        <v>0.62142857142857144</v>
      </c>
      <c r="I31" s="153">
        <f t="shared" si="21"/>
        <v>62.142857142857146</v>
      </c>
      <c r="J31" s="154">
        <f t="shared" si="22"/>
        <v>37.857142857142854</v>
      </c>
      <c r="K31" s="155">
        <v>0</v>
      </c>
      <c r="L31" s="155">
        <f t="shared" si="28"/>
        <v>0</v>
      </c>
      <c r="M31" s="155">
        <f t="shared" si="27"/>
        <v>0</v>
      </c>
      <c r="N31" s="156">
        <v>58.28</v>
      </c>
      <c r="O31" s="157"/>
      <c r="P31" s="158">
        <f t="shared" si="24"/>
        <v>37.857142857142854</v>
      </c>
      <c r="Q31" s="159">
        <v>3</v>
      </c>
      <c r="R31" s="147" t="str">
        <f t="shared" si="25"/>
        <v>Q</v>
      </c>
      <c r="S31" s="129"/>
      <c r="T31" s="128">
        <f t="shared" si="26"/>
        <v>8</v>
      </c>
      <c r="V31" s="16">
        <v>280</v>
      </c>
      <c r="W31" s="16">
        <v>67</v>
      </c>
    </row>
    <row r="32" spans="1:27" s="5" customFormat="1" ht="21" x14ac:dyDescent="0.2">
      <c r="A32" s="148"/>
      <c r="B32" s="179"/>
      <c r="C32" s="171"/>
      <c r="D32" s="179"/>
      <c r="E32" s="150"/>
      <c r="F32" s="151"/>
      <c r="G32" s="151"/>
      <c r="H32" s="152"/>
      <c r="I32" s="172"/>
      <c r="J32" s="173"/>
      <c r="K32" s="155"/>
      <c r="L32" s="155"/>
      <c r="M32" s="155"/>
      <c r="N32" s="156"/>
      <c r="O32" s="157"/>
      <c r="P32" s="158"/>
      <c r="Q32" s="159"/>
      <c r="R32" s="147"/>
      <c r="S32" s="129"/>
      <c r="T32" s="128"/>
      <c r="V32" s="16"/>
      <c r="W32" s="16"/>
    </row>
    <row r="33" spans="1:27" s="5" customFormat="1" ht="21" x14ac:dyDescent="0.25">
      <c r="A33" s="180"/>
      <c r="B33" s="141" t="s">
        <v>152</v>
      </c>
      <c r="C33" s="142"/>
      <c r="D33" s="181"/>
      <c r="E33" s="181"/>
      <c r="F33" s="143"/>
      <c r="G33" s="144"/>
      <c r="H33" s="145"/>
      <c r="I33" s="146"/>
      <c r="J33" s="143"/>
      <c r="K33" s="143"/>
      <c r="L33" s="144"/>
      <c r="M33" s="144"/>
      <c r="N33" s="145"/>
      <c r="O33" s="133"/>
      <c r="P33" s="143"/>
      <c r="Q33" s="145"/>
      <c r="R33" s="24"/>
      <c r="S33" s="130"/>
      <c r="T33" s="23"/>
      <c r="U33"/>
      <c r="V33"/>
      <c r="W33" s="16"/>
    </row>
    <row r="34" spans="1:27" s="5" customFormat="1" ht="21" x14ac:dyDescent="0.25">
      <c r="A34" s="182">
        <v>71</v>
      </c>
      <c r="B34" s="149" t="s">
        <v>166</v>
      </c>
      <c r="C34" s="149" t="s">
        <v>278</v>
      </c>
      <c r="D34" s="149" t="s">
        <v>8</v>
      </c>
      <c r="E34" s="150"/>
      <c r="F34" s="183">
        <v>176.5</v>
      </c>
      <c r="G34" s="183">
        <v>170.5</v>
      </c>
      <c r="H34" s="152">
        <f t="shared" ref="H34:H42" si="29">IF(F34=0,0,((AVERAGE(F34:G34))/V34))</f>
        <v>0.61964285714285716</v>
      </c>
      <c r="I34" s="153">
        <f t="shared" ref="I34:I42" si="30">H34*100</f>
        <v>61.964285714285715</v>
      </c>
      <c r="J34" s="154">
        <f t="shared" ref="J34:J42" si="31">100-I34</f>
        <v>38.035714285714285</v>
      </c>
      <c r="K34" s="155">
        <v>4</v>
      </c>
      <c r="L34" s="155">
        <f t="shared" ref="L34:L42" si="32">IF((W34&gt;N34),0,(N34-W34)*0.4)</f>
        <v>9.0399999999999974</v>
      </c>
      <c r="M34" s="155">
        <f t="shared" ref="M34:M42" si="33">L34+K34</f>
        <v>13.039999999999997</v>
      </c>
      <c r="N34" s="156">
        <v>89.6</v>
      </c>
      <c r="O34" s="157"/>
      <c r="P34" s="158">
        <f t="shared" ref="P34:P42" si="34">J34+M34</f>
        <v>51.075714285714284</v>
      </c>
      <c r="Q34" s="159">
        <v>7</v>
      </c>
      <c r="R34" s="147" t="str">
        <f t="shared" ref="R34:R42" si="35">IFERROR(IF(OR(Q34&gt;10,Q34=0),"-",IF(AND((AVERAGE(F34:G34)/V34)&gt;0.55,M34&lt;=4 ),"Q","-")),0)</f>
        <v>-</v>
      </c>
      <c r="S34" s="129"/>
      <c r="T34" s="128">
        <f t="shared" ref="T34:T42" si="36">IF(Q34=0,,IF(Q34&gt;10,,11-(Q34)))</f>
        <v>4</v>
      </c>
      <c r="V34" s="16">
        <v>280</v>
      </c>
      <c r="W34" s="16">
        <v>67</v>
      </c>
    </row>
    <row r="35" spans="1:27" s="5" customFormat="1" ht="21" x14ac:dyDescent="0.25">
      <c r="A35" s="182">
        <v>72</v>
      </c>
      <c r="B35" s="149" t="s">
        <v>279</v>
      </c>
      <c r="C35" s="149" t="s">
        <v>280</v>
      </c>
      <c r="D35" s="149" t="s">
        <v>274</v>
      </c>
      <c r="E35" s="150"/>
      <c r="F35" s="183">
        <v>179.5</v>
      </c>
      <c r="G35" s="183">
        <v>160.5</v>
      </c>
      <c r="H35" s="152">
        <f t="shared" si="29"/>
        <v>0.6071428571428571</v>
      </c>
      <c r="I35" s="153">
        <f t="shared" si="30"/>
        <v>60.714285714285708</v>
      </c>
      <c r="J35" s="154">
        <f t="shared" si="31"/>
        <v>39.285714285714292</v>
      </c>
      <c r="K35" s="155">
        <v>0</v>
      </c>
      <c r="L35" s="155">
        <f t="shared" si="32"/>
        <v>0</v>
      </c>
      <c r="M35" s="155">
        <f t="shared" si="33"/>
        <v>0</v>
      </c>
      <c r="N35" s="156">
        <v>66.31</v>
      </c>
      <c r="O35" s="157"/>
      <c r="P35" s="158">
        <f t="shared" si="34"/>
        <v>39.285714285714292</v>
      </c>
      <c r="Q35" s="159">
        <v>5</v>
      </c>
      <c r="R35" s="147" t="str">
        <f t="shared" si="35"/>
        <v>Q</v>
      </c>
      <c r="S35" s="129"/>
      <c r="T35" s="128">
        <f t="shared" si="36"/>
        <v>6</v>
      </c>
      <c r="V35" s="16">
        <v>280</v>
      </c>
      <c r="W35" s="16">
        <v>67</v>
      </c>
    </row>
    <row r="36" spans="1:27" s="5" customFormat="1" ht="21" x14ac:dyDescent="0.25">
      <c r="A36" s="182">
        <v>73</v>
      </c>
      <c r="B36" s="149" t="s">
        <v>281</v>
      </c>
      <c r="C36" s="149" t="s">
        <v>282</v>
      </c>
      <c r="D36" s="149" t="s">
        <v>244</v>
      </c>
      <c r="E36" s="150"/>
      <c r="F36" s="183">
        <v>187.5</v>
      </c>
      <c r="G36" s="183">
        <v>184.5</v>
      </c>
      <c r="H36" s="152">
        <f t="shared" si="29"/>
        <v>0.66428571428571426</v>
      </c>
      <c r="I36" s="153">
        <f t="shared" si="30"/>
        <v>66.428571428571431</v>
      </c>
      <c r="J36" s="154">
        <f t="shared" si="31"/>
        <v>33.571428571428569</v>
      </c>
      <c r="K36" s="155">
        <v>0</v>
      </c>
      <c r="L36" s="155">
        <f t="shared" si="32"/>
        <v>0</v>
      </c>
      <c r="M36" s="155">
        <f t="shared" si="33"/>
        <v>0</v>
      </c>
      <c r="N36" s="156">
        <v>57.1</v>
      </c>
      <c r="O36" s="157"/>
      <c r="P36" s="158">
        <f t="shared" si="34"/>
        <v>33.571428571428569</v>
      </c>
      <c r="Q36" s="159">
        <v>1</v>
      </c>
      <c r="R36" s="147" t="str">
        <f t="shared" si="35"/>
        <v>Q</v>
      </c>
      <c r="S36" s="129"/>
      <c r="T36" s="128">
        <f t="shared" si="36"/>
        <v>10</v>
      </c>
      <c r="V36" s="16">
        <v>280</v>
      </c>
      <c r="W36" s="16">
        <v>67</v>
      </c>
    </row>
    <row r="37" spans="1:27" s="5" customFormat="1" ht="21" x14ac:dyDescent="0.25">
      <c r="A37" s="182">
        <v>75</v>
      </c>
      <c r="B37" s="149" t="s">
        <v>166</v>
      </c>
      <c r="C37" s="149" t="s">
        <v>283</v>
      </c>
      <c r="D37" s="149" t="s">
        <v>8</v>
      </c>
      <c r="E37" s="150"/>
      <c r="F37" s="183">
        <v>162</v>
      </c>
      <c r="G37" s="183">
        <v>155</v>
      </c>
      <c r="H37" s="152">
        <f t="shared" si="29"/>
        <v>0.56607142857142856</v>
      </c>
      <c r="I37" s="153">
        <f t="shared" si="30"/>
        <v>56.607142857142854</v>
      </c>
      <c r="J37" s="154">
        <f t="shared" si="31"/>
        <v>43.392857142857146</v>
      </c>
      <c r="K37" s="155">
        <v>8</v>
      </c>
      <c r="L37" s="155">
        <f t="shared" si="32"/>
        <v>9.0240000000000009</v>
      </c>
      <c r="M37" s="155">
        <f t="shared" si="33"/>
        <v>17.024000000000001</v>
      </c>
      <c r="N37" s="156">
        <v>89.56</v>
      </c>
      <c r="O37" s="157"/>
      <c r="P37" s="158">
        <f t="shared" si="34"/>
        <v>60.416857142857147</v>
      </c>
      <c r="Q37" s="159">
        <v>8</v>
      </c>
      <c r="R37" s="147" t="str">
        <f t="shared" si="35"/>
        <v>-</v>
      </c>
      <c r="S37" s="129"/>
      <c r="T37" s="128">
        <f t="shared" si="36"/>
        <v>3</v>
      </c>
      <c r="V37" s="16">
        <v>280</v>
      </c>
      <c r="W37" s="16">
        <v>67</v>
      </c>
    </row>
    <row r="38" spans="1:27" s="5" customFormat="1" ht="21" x14ac:dyDescent="0.25">
      <c r="A38" s="182">
        <v>26</v>
      </c>
      <c r="B38" s="149" t="s">
        <v>90</v>
      </c>
      <c r="C38" s="149" t="s">
        <v>284</v>
      </c>
      <c r="D38" s="149" t="s">
        <v>9</v>
      </c>
      <c r="E38" s="150"/>
      <c r="F38" s="183">
        <v>176.5</v>
      </c>
      <c r="G38" s="183">
        <v>172.5</v>
      </c>
      <c r="H38" s="152">
        <f t="shared" si="29"/>
        <v>0.62321428571428572</v>
      </c>
      <c r="I38" s="153">
        <f t="shared" si="30"/>
        <v>62.321428571428569</v>
      </c>
      <c r="J38" s="154">
        <f t="shared" si="31"/>
        <v>37.678571428571431</v>
      </c>
      <c r="K38" s="155">
        <v>0</v>
      </c>
      <c r="L38" s="155">
        <f t="shared" si="32"/>
        <v>0</v>
      </c>
      <c r="M38" s="155">
        <f t="shared" si="33"/>
        <v>0</v>
      </c>
      <c r="N38" s="156">
        <v>62.09</v>
      </c>
      <c r="O38" s="157"/>
      <c r="P38" s="158">
        <f t="shared" si="34"/>
        <v>37.678571428571431</v>
      </c>
      <c r="Q38" s="159">
        <v>3</v>
      </c>
      <c r="R38" s="147" t="str">
        <f t="shared" si="35"/>
        <v>Q</v>
      </c>
      <c r="S38" s="129"/>
      <c r="T38" s="128">
        <f t="shared" si="36"/>
        <v>8</v>
      </c>
      <c r="V38" s="16">
        <v>280</v>
      </c>
      <c r="W38" s="16">
        <v>67</v>
      </c>
    </row>
    <row r="39" spans="1:27" s="5" customFormat="1" ht="21" x14ac:dyDescent="0.25">
      <c r="A39" s="182">
        <v>25</v>
      </c>
      <c r="B39" s="149" t="s">
        <v>285</v>
      </c>
      <c r="C39" s="149" t="s">
        <v>286</v>
      </c>
      <c r="D39" s="149" t="s">
        <v>8</v>
      </c>
      <c r="E39" s="150"/>
      <c r="F39" s="183">
        <v>189.5</v>
      </c>
      <c r="G39" s="183">
        <v>192.5</v>
      </c>
      <c r="H39" s="152">
        <f t="shared" si="29"/>
        <v>0.68214285714285716</v>
      </c>
      <c r="I39" s="153">
        <f t="shared" si="30"/>
        <v>68.214285714285722</v>
      </c>
      <c r="J39" s="154">
        <f t="shared" si="31"/>
        <v>31.785714285714278</v>
      </c>
      <c r="K39" s="155">
        <v>4</v>
      </c>
      <c r="L39" s="155">
        <f t="shared" si="32"/>
        <v>0</v>
      </c>
      <c r="M39" s="155">
        <f t="shared" si="33"/>
        <v>4</v>
      </c>
      <c r="N39" s="156">
        <v>63.42</v>
      </c>
      <c r="O39" s="157"/>
      <c r="P39" s="158">
        <f t="shared" si="34"/>
        <v>35.785714285714278</v>
      </c>
      <c r="Q39" s="159">
        <v>2</v>
      </c>
      <c r="R39" s="147" t="str">
        <f t="shared" si="35"/>
        <v>Q</v>
      </c>
      <c r="S39" s="129"/>
      <c r="T39" s="128">
        <f t="shared" si="36"/>
        <v>9</v>
      </c>
      <c r="V39" s="16">
        <v>280</v>
      </c>
      <c r="W39" s="16">
        <v>67</v>
      </c>
    </row>
    <row r="40" spans="1:27" s="5" customFormat="1" ht="21" x14ac:dyDescent="0.25">
      <c r="A40" s="182">
        <v>28</v>
      </c>
      <c r="B40" s="149" t="s">
        <v>287</v>
      </c>
      <c r="C40" s="149" t="s">
        <v>288</v>
      </c>
      <c r="D40" s="149" t="s">
        <v>9</v>
      </c>
      <c r="E40" s="150"/>
      <c r="F40" s="183">
        <v>188.5</v>
      </c>
      <c r="G40" s="183">
        <v>181</v>
      </c>
      <c r="H40" s="152">
        <f t="shared" si="29"/>
        <v>0.65982142857142856</v>
      </c>
      <c r="I40" s="153">
        <f t="shared" si="30"/>
        <v>65.982142857142861</v>
      </c>
      <c r="J40" s="154">
        <f t="shared" si="31"/>
        <v>34.017857142857139</v>
      </c>
      <c r="K40" s="155">
        <v>16</v>
      </c>
      <c r="L40" s="155">
        <f t="shared" si="32"/>
        <v>15.064</v>
      </c>
      <c r="M40" s="155">
        <f t="shared" si="33"/>
        <v>31.064</v>
      </c>
      <c r="N40" s="156">
        <v>104.66</v>
      </c>
      <c r="O40" s="157"/>
      <c r="P40" s="158">
        <f t="shared" si="34"/>
        <v>65.081857142857132</v>
      </c>
      <c r="Q40" s="159">
        <v>9</v>
      </c>
      <c r="R40" s="147" t="str">
        <f t="shared" si="35"/>
        <v>-</v>
      </c>
      <c r="S40" s="129"/>
      <c r="T40" s="128">
        <f t="shared" si="36"/>
        <v>2</v>
      </c>
      <c r="V40" s="16">
        <v>280</v>
      </c>
      <c r="W40" s="16">
        <v>67</v>
      </c>
    </row>
    <row r="41" spans="1:27" s="5" customFormat="1" ht="21" x14ac:dyDescent="0.25">
      <c r="A41" s="182">
        <v>30</v>
      </c>
      <c r="B41" s="149" t="s">
        <v>289</v>
      </c>
      <c r="C41" s="149" t="s">
        <v>290</v>
      </c>
      <c r="D41" s="149" t="s">
        <v>8</v>
      </c>
      <c r="E41" s="150"/>
      <c r="F41" s="183">
        <v>176</v>
      </c>
      <c r="G41" s="183">
        <v>170</v>
      </c>
      <c r="H41" s="152">
        <f t="shared" si="29"/>
        <v>0.61785714285714288</v>
      </c>
      <c r="I41" s="153">
        <f t="shared" si="30"/>
        <v>61.785714285714292</v>
      </c>
      <c r="J41" s="154">
        <f t="shared" si="31"/>
        <v>38.214285714285708</v>
      </c>
      <c r="K41" s="155">
        <v>0</v>
      </c>
      <c r="L41" s="155">
        <f t="shared" si="32"/>
        <v>0</v>
      </c>
      <c r="M41" s="155">
        <f t="shared" si="33"/>
        <v>0</v>
      </c>
      <c r="N41" s="156">
        <v>60.91</v>
      </c>
      <c r="O41" s="157"/>
      <c r="P41" s="158">
        <f t="shared" si="34"/>
        <v>38.214285714285708</v>
      </c>
      <c r="Q41" s="159">
        <v>4</v>
      </c>
      <c r="R41" s="147" t="str">
        <f t="shared" si="35"/>
        <v>Q</v>
      </c>
      <c r="S41" s="129"/>
      <c r="T41" s="128">
        <f t="shared" si="36"/>
        <v>7</v>
      </c>
      <c r="V41" s="16">
        <v>280</v>
      </c>
      <c r="W41" s="16">
        <v>67</v>
      </c>
    </row>
    <row r="42" spans="1:27" s="5" customFormat="1" ht="21" x14ac:dyDescent="0.25">
      <c r="A42" s="182">
        <v>31</v>
      </c>
      <c r="B42" s="149" t="s">
        <v>291</v>
      </c>
      <c r="C42" s="149" t="s">
        <v>292</v>
      </c>
      <c r="D42" s="149" t="s">
        <v>9</v>
      </c>
      <c r="E42" s="150"/>
      <c r="F42" s="183">
        <v>185</v>
      </c>
      <c r="G42" s="183">
        <v>173</v>
      </c>
      <c r="H42" s="152">
        <f t="shared" si="29"/>
        <v>0.63928571428571423</v>
      </c>
      <c r="I42" s="153">
        <f t="shared" si="30"/>
        <v>63.928571428571423</v>
      </c>
      <c r="J42" s="154">
        <f t="shared" si="31"/>
        <v>36.071428571428577</v>
      </c>
      <c r="K42" s="155">
        <v>4</v>
      </c>
      <c r="L42" s="155">
        <f t="shared" si="32"/>
        <v>0</v>
      </c>
      <c r="M42" s="155">
        <f t="shared" si="33"/>
        <v>4</v>
      </c>
      <c r="N42" s="156">
        <v>61.81</v>
      </c>
      <c r="O42" s="157"/>
      <c r="P42" s="158">
        <f t="shared" si="34"/>
        <v>40.071428571428577</v>
      </c>
      <c r="Q42" s="159">
        <v>6</v>
      </c>
      <c r="R42" s="147" t="str">
        <f t="shared" si="35"/>
        <v>Q</v>
      </c>
      <c r="S42" s="129"/>
      <c r="T42" s="128">
        <f t="shared" si="36"/>
        <v>5</v>
      </c>
      <c r="V42" s="16">
        <v>280</v>
      </c>
      <c r="W42" s="16">
        <v>67</v>
      </c>
    </row>
    <row r="43" spans="1:27" s="5" customFormat="1" ht="21" x14ac:dyDescent="0.2">
      <c r="A43" s="148"/>
      <c r="B43" s="171"/>
      <c r="C43" s="171"/>
      <c r="D43" s="171"/>
      <c r="E43" s="150"/>
      <c r="F43" s="151"/>
      <c r="G43" s="151"/>
      <c r="H43" s="152"/>
      <c r="I43" s="172"/>
      <c r="J43" s="173"/>
      <c r="K43" s="155"/>
      <c r="L43" s="155"/>
      <c r="M43" s="155"/>
      <c r="N43" s="156"/>
      <c r="O43" s="157"/>
      <c r="P43" s="158"/>
      <c r="Q43" s="159"/>
      <c r="R43" s="147"/>
      <c r="S43" s="129"/>
      <c r="T43" s="128"/>
      <c r="V43" s="16"/>
      <c r="W43" s="16"/>
    </row>
    <row r="44" spans="1:27" ht="21" x14ac:dyDescent="0.25">
      <c r="A44" s="140"/>
      <c r="B44" s="141" t="s">
        <v>181</v>
      </c>
      <c r="C44" s="174"/>
      <c r="D44" s="143"/>
      <c r="E44" s="143"/>
      <c r="F44" s="143"/>
      <c r="G44" s="144"/>
      <c r="H44" s="145"/>
      <c r="I44" s="146"/>
      <c r="J44" s="143"/>
      <c r="K44" s="143"/>
      <c r="L44" s="144"/>
      <c r="M44" s="144"/>
      <c r="N44" s="145"/>
      <c r="O44" s="133"/>
      <c r="P44" s="143"/>
      <c r="Q44" s="145"/>
      <c r="R44" s="184"/>
      <c r="S44" s="130"/>
      <c r="T44" s="23"/>
      <c r="Z44" s="5"/>
      <c r="AA44" s="5"/>
    </row>
    <row r="45" spans="1:27" s="5" customFormat="1" ht="21" x14ac:dyDescent="0.2">
      <c r="A45" s="182">
        <v>41</v>
      </c>
      <c r="B45" s="149" t="s">
        <v>299</v>
      </c>
      <c r="C45" s="149" t="s">
        <v>300</v>
      </c>
      <c r="D45" s="185" t="s">
        <v>6</v>
      </c>
      <c r="E45" s="150"/>
      <c r="F45" s="151">
        <v>167.5</v>
      </c>
      <c r="G45" s="151">
        <v>165.5</v>
      </c>
      <c r="H45" s="152">
        <f>IF(F45=0,0,((AVERAGE(F45:G45))/V45))</f>
        <v>0.64038461538461533</v>
      </c>
      <c r="I45" s="153">
        <f t="shared" ref="I45:I50" si="37">H45*100</f>
        <v>64.038461538461533</v>
      </c>
      <c r="J45" s="154">
        <f t="shared" ref="J45:J50" si="38">100-I45</f>
        <v>35.961538461538467</v>
      </c>
      <c r="K45" s="155">
        <v>4</v>
      </c>
      <c r="L45" s="155">
        <f t="shared" ref="L45:L50" si="39">IF((W45&gt;N45),0,(N45-W45)*0.4)</f>
        <v>0.4</v>
      </c>
      <c r="M45" s="155">
        <f>L45+K45</f>
        <v>4.4000000000000004</v>
      </c>
      <c r="N45" s="156">
        <v>68</v>
      </c>
      <c r="O45" s="157"/>
      <c r="P45" s="158">
        <f>J45+M45</f>
        <v>40.361538461538466</v>
      </c>
      <c r="Q45" s="159">
        <v>5</v>
      </c>
      <c r="R45" s="147" t="str">
        <f t="shared" ref="R45:R50" si="40">IFERROR(IF(OR(Q45&gt;10,Q45=0),"-",IF(AND((AVERAGE(F45:G45)/V45)&gt;0.55,M45&lt;=4 ),"Q","-")),0)</f>
        <v>-</v>
      </c>
      <c r="S45" s="129"/>
      <c r="T45" s="128">
        <f>IF(Q45=0,,IF(Q45&gt;10,,11-(Q45)))</f>
        <v>6</v>
      </c>
      <c r="V45" s="16">
        <v>260</v>
      </c>
      <c r="W45" s="16">
        <v>67</v>
      </c>
    </row>
    <row r="46" spans="1:27" s="5" customFormat="1" ht="21" x14ac:dyDescent="0.2">
      <c r="A46" s="182">
        <v>42</v>
      </c>
      <c r="B46" s="149" t="s">
        <v>116</v>
      </c>
      <c r="C46" s="149" t="s">
        <v>301</v>
      </c>
      <c r="D46" s="149" t="s">
        <v>9</v>
      </c>
      <c r="E46" s="150"/>
      <c r="F46" s="151">
        <v>158.5</v>
      </c>
      <c r="G46" s="151">
        <v>154</v>
      </c>
      <c r="H46" s="152">
        <f>IF(F46=0,0,((AVERAGE(F46:G46))/V46))</f>
        <v>0.60096153846153844</v>
      </c>
      <c r="I46" s="153">
        <f t="shared" si="37"/>
        <v>60.096153846153847</v>
      </c>
      <c r="J46" s="154">
        <f t="shared" si="38"/>
        <v>39.903846153846153</v>
      </c>
      <c r="K46" s="155">
        <v>0</v>
      </c>
      <c r="L46" s="155">
        <f t="shared" si="39"/>
        <v>0</v>
      </c>
      <c r="M46" s="155">
        <f>L46+K46</f>
        <v>0</v>
      </c>
      <c r="N46" s="156">
        <v>59.97</v>
      </c>
      <c r="O46" s="157"/>
      <c r="P46" s="158">
        <f>J46+M46</f>
        <v>39.903846153846153</v>
      </c>
      <c r="Q46" s="159">
        <v>4</v>
      </c>
      <c r="R46" s="147" t="str">
        <f t="shared" si="40"/>
        <v>Q</v>
      </c>
      <c r="S46" s="129"/>
      <c r="T46" s="128">
        <f>IF(Q46=0,,IF(Q46&gt;10,,11-(Q46)))</f>
        <v>7</v>
      </c>
      <c r="V46" s="16">
        <v>260</v>
      </c>
      <c r="W46" s="16">
        <v>67</v>
      </c>
    </row>
    <row r="47" spans="1:27" s="122" customFormat="1" ht="21" x14ac:dyDescent="0.2">
      <c r="A47" s="182">
        <v>43</v>
      </c>
      <c r="B47" s="186" t="s">
        <v>176</v>
      </c>
      <c r="C47" s="186" t="s">
        <v>302</v>
      </c>
      <c r="D47" s="186" t="s">
        <v>244</v>
      </c>
      <c r="E47" s="150"/>
      <c r="F47" s="151">
        <v>165</v>
      </c>
      <c r="G47" s="151">
        <v>168.5</v>
      </c>
      <c r="H47" s="152">
        <f>IF(F47=0,0,((AVERAGE(F47:G47))/V47))</f>
        <v>0.6413461538461539</v>
      </c>
      <c r="I47" s="153">
        <f t="shared" si="37"/>
        <v>64.134615384615387</v>
      </c>
      <c r="J47" s="154">
        <f t="shared" si="38"/>
        <v>35.865384615384613</v>
      </c>
      <c r="K47" s="155">
        <v>0</v>
      </c>
      <c r="L47" s="155">
        <f t="shared" si="39"/>
        <v>0</v>
      </c>
      <c r="M47" s="155">
        <f>L47+K47</f>
        <v>0</v>
      </c>
      <c r="N47" s="187">
        <v>64.53</v>
      </c>
      <c r="O47" s="188"/>
      <c r="P47" s="158">
        <f>J47+M47</f>
        <v>35.865384615384613</v>
      </c>
      <c r="Q47" s="159">
        <v>1</v>
      </c>
      <c r="R47" s="147" t="str">
        <f t="shared" si="40"/>
        <v>Q</v>
      </c>
      <c r="S47" s="132"/>
      <c r="T47" s="131">
        <f>IF(Q47=0,,IF(Q47&gt;10,,11-(Q47)))</f>
        <v>10</v>
      </c>
      <c r="V47" s="123">
        <v>260</v>
      </c>
      <c r="W47" s="16">
        <v>67</v>
      </c>
    </row>
    <row r="48" spans="1:27" s="5" customFormat="1" ht="21" x14ac:dyDescent="0.2">
      <c r="A48" s="182">
        <v>44</v>
      </c>
      <c r="B48" s="149" t="s">
        <v>303</v>
      </c>
      <c r="C48" s="149" t="s">
        <v>304</v>
      </c>
      <c r="D48" s="149" t="s">
        <v>9</v>
      </c>
      <c r="E48" s="150"/>
      <c r="F48" s="151">
        <v>160</v>
      </c>
      <c r="G48" s="151">
        <v>157.5</v>
      </c>
      <c r="H48" s="152">
        <f>IF(F48=0,0,((AVERAGE(F48:G48))/V48))</f>
        <v>0.61057692307692313</v>
      </c>
      <c r="I48" s="153">
        <f t="shared" si="37"/>
        <v>61.057692307692314</v>
      </c>
      <c r="J48" s="154">
        <f t="shared" si="38"/>
        <v>38.942307692307686</v>
      </c>
      <c r="K48" s="155">
        <v>0</v>
      </c>
      <c r="L48" s="155">
        <f t="shared" si="39"/>
        <v>0</v>
      </c>
      <c r="M48" s="155">
        <f>L48+K48</f>
        <v>0</v>
      </c>
      <c r="N48" s="156">
        <v>62.53</v>
      </c>
      <c r="O48" s="157"/>
      <c r="P48" s="158">
        <f>J48+M48</f>
        <v>38.942307692307686</v>
      </c>
      <c r="Q48" s="159">
        <v>2</v>
      </c>
      <c r="R48" s="147" t="str">
        <f t="shared" si="40"/>
        <v>Q</v>
      </c>
      <c r="S48" s="129"/>
      <c r="T48" s="128">
        <f>IF(Q48=0,,IF(Q48&gt;10,,11-(Q48)))</f>
        <v>9</v>
      </c>
      <c r="V48" s="16">
        <v>260</v>
      </c>
      <c r="W48" s="16">
        <v>67</v>
      </c>
    </row>
    <row r="49" spans="1:23" s="5" customFormat="1" ht="21" x14ac:dyDescent="0.2">
      <c r="A49" s="182">
        <v>45</v>
      </c>
      <c r="B49" s="149" t="s">
        <v>103</v>
      </c>
      <c r="C49" s="149" t="s">
        <v>104</v>
      </c>
      <c r="D49" s="149" t="s">
        <v>8</v>
      </c>
      <c r="E49" s="150"/>
      <c r="F49" s="151">
        <v>144</v>
      </c>
      <c r="G49" s="151">
        <v>148.5</v>
      </c>
      <c r="H49" s="152">
        <f>IF(F49=0,0,((AVERAGE(F49:G49))/V49))</f>
        <v>0.5625</v>
      </c>
      <c r="I49" s="153">
        <f t="shared" si="37"/>
        <v>56.25</v>
      </c>
      <c r="J49" s="154">
        <f t="shared" si="38"/>
        <v>43.75</v>
      </c>
      <c r="K49" s="155">
        <v>0</v>
      </c>
      <c r="L49" s="155">
        <f t="shared" si="39"/>
        <v>0</v>
      </c>
      <c r="M49" s="155">
        <f>L49+K49</f>
        <v>0</v>
      </c>
      <c r="N49" s="156">
        <v>60.88</v>
      </c>
      <c r="O49" s="157"/>
      <c r="P49" s="158">
        <f>J49+M49</f>
        <v>43.75</v>
      </c>
      <c r="Q49" s="159">
        <v>6</v>
      </c>
      <c r="R49" s="147" t="str">
        <f t="shared" si="40"/>
        <v>Q</v>
      </c>
      <c r="S49" s="129"/>
      <c r="T49" s="128">
        <f>IF(Q49=0,,IF(Q49&gt;10,,11-(Q49)))</f>
        <v>5</v>
      </c>
      <c r="V49" s="16">
        <v>260</v>
      </c>
      <c r="W49" s="16">
        <v>67</v>
      </c>
    </row>
    <row r="50" spans="1:23" s="5" customFormat="1" ht="21" x14ac:dyDescent="0.2">
      <c r="A50" s="182">
        <v>46</v>
      </c>
      <c r="B50" s="171" t="s">
        <v>48</v>
      </c>
      <c r="C50" s="171" t="s">
        <v>101</v>
      </c>
      <c r="D50" s="171" t="s">
        <v>9</v>
      </c>
      <c r="E50" s="150"/>
      <c r="F50" s="151">
        <v>154</v>
      </c>
      <c r="G50" s="151">
        <v>163</v>
      </c>
      <c r="H50" s="152">
        <f t="shared" ref="H50" si="41">IF(F50=0,0,((AVERAGE(F50:G50))/V50))</f>
        <v>0.60961538461538467</v>
      </c>
      <c r="I50" s="153">
        <f t="shared" si="37"/>
        <v>60.961538461538467</v>
      </c>
      <c r="J50" s="154">
        <f t="shared" si="38"/>
        <v>39.038461538461533</v>
      </c>
      <c r="K50" s="155">
        <v>0</v>
      </c>
      <c r="L50" s="155">
        <f t="shared" si="39"/>
        <v>0</v>
      </c>
      <c r="M50" s="155">
        <f t="shared" ref="M50" si="42">L50+K50</f>
        <v>0</v>
      </c>
      <c r="N50" s="156">
        <v>56.34</v>
      </c>
      <c r="O50" s="157"/>
      <c r="P50" s="158">
        <f t="shared" ref="P50" si="43">J50+M50</f>
        <v>39.038461538461533</v>
      </c>
      <c r="Q50" s="159">
        <v>3</v>
      </c>
      <c r="R50" s="147" t="str">
        <f t="shared" si="40"/>
        <v>Q</v>
      </c>
      <c r="S50" s="129"/>
      <c r="T50" s="128">
        <f t="shared" ref="T50" si="44">IF(Q50=0,,IF(Q50&gt;10,,11-(Q50)))</f>
        <v>8</v>
      </c>
      <c r="V50" s="16">
        <v>260</v>
      </c>
      <c r="W50" s="16">
        <v>67</v>
      </c>
    </row>
    <row r="51" spans="1:23" s="5" customFormat="1" ht="19" x14ac:dyDescent="0.2">
      <c r="A51" s="148"/>
      <c r="B51" s="171"/>
      <c r="C51" s="171"/>
      <c r="D51" s="171"/>
      <c r="E51" s="150"/>
      <c r="F51" s="151"/>
      <c r="G51" s="151"/>
      <c r="H51" s="152"/>
      <c r="I51" s="153"/>
      <c r="J51" s="154"/>
      <c r="K51" s="155"/>
      <c r="L51" s="155"/>
      <c r="M51" s="155"/>
      <c r="N51" s="156"/>
      <c r="O51" s="157"/>
      <c r="P51" s="158"/>
      <c r="Q51" s="159"/>
      <c r="R51" s="147"/>
      <c r="T51" s="18"/>
      <c r="V51" s="16"/>
      <c r="W51" s="16"/>
    </row>
    <row r="52" spans="1:23" s="5" customFormat="1" ht="19" x14ac:dyDescent="0.2">
      <c r="A52" s="148"/>
      <c r="B52" s="171"/>
      <c r="C52" s="171"/>
      <c r="D52" s="171"/>
      <c r="E52" s="150"/>
      <c r="F52" s="151"/>
      <c r="G52" s="151"/>
      <c r="H52" s="152"/>
      <c r="I52" s="153"/>
      <c r="J52" s="154"/>
      <c r="K52" s="155"/>
      <c r="L52" s="155"/>
      <c r="M52" s="155"/>
      <c r="N52" s="156"/>
      <c r="O52" s="157"/>
      <c r="P52" s="158"/>
      <c r="Q52" s="159"/>
      <c r="R52" s="147"/>
      <c r="T52" s="18"/>
      <c r="V52" s="16"/>
      <c r="W52" s="16"/>
    </row>
    <row r="53" spans="1:23" s="5" customFormat="1" ht="19" x14ac:dyDescent="0.2">
      <c r="A53" s="148"/>
      <c r="B53" s="189"/>
      <c r="C53" s="171"/>
      <c r="D53" s="190"/>
      <c r="E53" s="191"/>
      <c r="F53" s="192"/>
      <c r="G53" s="193"/>
      <c r="H53" s="194"/>
      <c r="I53" s="172"/>
      <c r="J53" s="173"/>
      <c r="K53" s="195"/>
      <c r="L53" s="196"/>
      <c r="M53" s="196"/>
      <c r="N53" s="197"/>
      <c r="O53" s="157"/>
      <c r="P53" s="198"/>
      <c r="Q53" s="199"/>
      <c r="R53" s="147"/>
      <c r="T53" s="18"/>
      <c r="V53" s="16"/>
      <c r="W53" s="16"/>
    </row>
    <row r="54" spans="1:23" ht="20" x14ac:dyDescent="0.25">
      <c r="A54" s="140"/>
      <c r="B54" s="141" t="s">
        <v>293</v>
      </c>
      <c r="C54" s="174"/>
      <c r="D54" s="181"/>
      <c r="E54" s="181"/>
      <c r="F54" s="143"/>
      <c r="G54" s="144"/>
      <c r="H54" s="145"/>
      <c r="I54" s="146"/>
      <c r="J54" s="143"/>
      <c r="K54" s="143"/>
      <c r="L54" s="144"/>
      <c r="M54" s="144"/>
      <c r="N54" s="145"/>
      <c r="O54" s="133"/>
      <c r="P54" s="143"/>
      <c r="Q54" s="145"/>
      <c r="R54" s="24"/>
      <c r="T54" s="23"/>
    </row>
    <row r="55" spans="1:23" s="5" customFormat="1" ht="19" x14ac:dyDescent="0.25">
      <c r="A55" s="182">
        <v>37</v>
      </c>
      <c r="B55" s="149" t="s">
        <v>118</v>
      </c>
      <c r="C55" s="149" t="s">
        <v>294</v>
      </c>
      <c r="D55" s="178" t="s">
        <v>8</v>
      </c>
      <c r="E55" s="150"/>
      <c r="F55" s="151">
        <v>168</v>
      </c>
      <c r="G55" s="151">
        <v>173</v>
      </c>
      <c r="H55" s="152">
        <f t="shared" ref="H55:H58" si="45">IF(F55=0,0,((AVERAGE(F55:G55))/V55))</f>
        <v>0.65576923076923077</v>
      </c>
      <c r="I55" s="153">
        <f t="shared" ref="I55:I58" si="46">H55*100</f>
        <v>65.57692307692308</v>
      </c>
      <c r="J55" s="154">
        <f t="shared" ref="J55:J58" si="47">100-I55</f>
        <v>34.42307692307692</v>
      </c>
      <c r="K55" s="155">
        <v>8</v>
      </c>
      <c r="L55" s="155">
        <f t="shared" ref="L55:L58" si="48">IF((W55&gt;N55),0,(N55-W55)*0.4)</f>
        <v>0</v>
      </c>
      <c r="M55" s="155">
        <f t="shared" ref="M55:M58" si="49">L55+K55</f>
        <v>8</v>
      </c>
      <c r="N55" s="156">
        <v>63.15</v>
      </c>
      <c r="O55" s="157"/>
      <c r="P55" s="158">
        <f t="shared" ref="P55:P58" si="50">J55+M55</f>
        <v>42.42307692307692</v>
      </c>
      <c r="Q55" s="159">
        <v>2</v>
      </c>
      <c r="R55" s="147" t="str">
        <f t="shared" ref="R55:R58" si="51">IFERROR(IF(OR(Q55&gt;10,Q55=0),"-",IF(AND((AVERAGE(F55:G55)/V55)&gt;0.55,M55&lt;=4 ),"Q","-")),0)</f>
        <v>-</v>
      </c>
      <c r="T55" s="18">
        <f t="shared" ref="T55:T58" si="52">IF(Q55=0,,IF(Q55&gt;10,,11-(Q55)))</f>
        <v>9</v>
      </c>
      <c r="V55" s="16">
        <v>260</v>
      </c>
      <c r="W55" s="16">
        <v>67</v>
      </c>
    </row>
    <row r="56" spans="1:23" s="5" customFormat="1" ht="19" x14ac:dyDescent="0.2">
      <c r="A56" s="182">
        <v>38</v>
      </c>
      <c r="B56" s="149" t="s">
        <v>48</v>
      </c>
      <c r="C56" s="149" t="s">
        <v>94</v>
      </c>
      <c r="D56" s="149" t="s">
        <v>9</v>
      </c>
      <c r="E56" s="150"/>
      <c r="F56" s="151">
        <v>160.5</v>
      </c>
      <c r="G56" s="151">
        <v>159</v>
      </c>
      <c r="H56" s="152">
        <f t="shared" si="45"/>
        <v>0.61442307692307696</v>
      </c>
      <c r="I56" s="153">
        <f t="shared" si="46"/>
        <v>61.442307692307693</v>
      </c>
      <c r="J56" s="154">
        <f t="shared" si="47"/>
        <v>38.557692307692307</v>
      </c>
      <c r="K56" s="155">
        <v>0</v>
      </c>
      <c r="L56" s="155">
        <f t="shared" si="48"/>
        <v>0</v>
      </c>
      <c r="M56" s="155">
        <f t="shared" si="49"/>
        <v>0</v>
      </c>
      <c r="N56" s="156">
        <v>57.03</v>
      </c>
      <c r="O56" s="157"/>
      <c r="P56" s="158">
        <f t="shared" si="50"/>
        <v>38.557692307692307</v>
      </c>
      <c r="Q56" s="159">
        <v>1</v>
      </c>
      <c r="R56" s="147" t="str">
        <f t="shared" si="51"/>
        <v>Q</v>
      </c>
      <c r="T56" s="18">
        <f t="shared" si="52"/>
        <v>10</v>
      </c>
      <c r="V56" s="16">
        <v>260</v>
      </c>
      <c r="W56" s="16">
        <v>67</v>
      </c>
    </row>
    <row r="57" spans="1:23" s="5" customFormat="1" ht="19" x14ac:dyDescent="0.2">
      <c r="A57" s="182">
        <v>39</v>
      </c>
      <c r="B57" s="149" t="s">
        <v>295</v>
      </c>
      <c r="C57" s="149" t="s">
        <v>296</v>
      </c>
      <c r="D57" s="149" t="s">
        <v>7</v>
      </c>
      <c r="E57" s="150"/>
      <c r="F57" s="151">
        <v>141.5</v>
      </c>
      <c r="G57" s="151">
        <v>150.5</v>
      </c>
      <c r="H57" s="152">
        <f t="shared" si="45"/>
        <v>0.56153846153846154</v>
      </c>
      <c r="I57" s="153">
        <f t="shared" si="46"/>
        <v>56.153846153846153</v>
      </c>
      <c r="J57" s="154">
        <f t="shared" si="47"/>
        <v>43.846153846153847</v>
      </c>
      <c r="K57" s="155">
        <v>0</v>
      </c>
      <c r="L57" s="155">
        <f t="shared" si="48"/>
        <v>0</v>
      </c>
      <c r="M57" s="155">
        <f t="shared" si="49"/>
        <v>0</v>
      </c>
      <c r="N57" s="156">
        <v>54.56</v>
      </c>
      <c r="O57" s="157"/>
      <c r="P57" s="158">
        <f t="shared" si="50"/>
        <v>43.846153846153847</v>
      </c>
      <c r="Q57" s="159">
        <v>4</v>
      </c>
      <c r="R57" s="147" t="str">
        <f t="shared" si="51"/>
        <v>Q</v>
      </c>
      <c r="T57" s="18">
        <f t="shared" si="52"/>
        <v>7</v>
      </c>
      <c r="V57" s="16">
        <v>260</v>
      </c>
      <c r="W57" s="16">
        <v>67</v>
      </c>
    </row>
    <row r="58" spans="1:23" s="5" customFormat="1" ht="19" x14ac:dyDescent="0.25">
      <c r="A58" s="182">
        <v>40</v>
      </c>
      <c r="B58" s="149" t="s">
        <v>297</v>
      </c>
      <c r="C58" s="149" t="s">
        <v>298</v>
      </c>
      <c r="D58" s="178" t="s">
        <v>9</v>
      </c>
      <c r="E58" s="150"/>
      <c r="F58" s="151">
        <v>140</v>
      </c>
      <c r="G58" s="151">
        <v>156.5</v>
      </c>
      <c r="H58" s="152">
        <f t="shared" si="45"/>
        <v>0.57019230769230766</v>
      </c>
      <c r="I58" s="153">
        <f t="shared" si="46"/>
        <v>57.019230769230766</v>
      </c>
      <c r="J58" s="154">
        <f t="shared" si="47"/>
        <v>42.980769230769234</v>
      </c>
      <c r="K58" s="155">
        <v>0</v>
      </c>
      <c r="L58" s="155">
        <f t="shared" si="48"/>
        <v>0</v>
      </c>
      <c r="M58" s="155">
        <f t="shared" si="49"/>
        <v>0</v>
      </c>
      <c r="N58" s="156">
        <v>59.29</v>
      </c>
      <c r="O58" s="157"/>
      <c r="P58" s="158">
        <f t="shared" si="50"/>
        <v>42.980769230769234</v>
      </c>
      <c r="Q58" s="159">
        <v>3</v>
      </c>
      <c r="R58" s="147" t="str">
        <f t="shared" si="51"/>
        <v>Q</v>
      </c>
      <c r="T58" s="18">
        <f t="shared" si="52"/>
        <v>8</v>
      </c>
      <c r="V58" s="16">
        <v>260</v>
      </c>
      <c r="W58" s="16">
        <v>67</v>
      </c>
    </row>
    <row r="59" spans="1:23" s="5" customFormat="1" ht="19" x14ac:dyDescent="0.2">
      <c r="A59" s="148"/>
      <c r="B59" s="149"/>
      <c r="C59" s="149"/>
      <c r="D59" s="185"/>
      <c r="E59" s="150"/>
      <c r="F59" s="151"/>
      <c r="G59" s="151"/>
      <c r="H59" s="152"/>
      <c r="I59" s="153"/>
      <c r="J59" s="154"/>
      <c r="K59" s="155"/>
      <c r="L59" s="155"/>
      <c r="M59" s="155"/>
      <c r="N59" s="156"/>
      <c r="O59" s="157"/>
      <c r="P59" s="158"/>
      <c r="Q59" s="159"/>
      <c r="R59" s="147"/>
      <c r="T59" s="18"/>
      <c r="V59" s="16"/>
      <c r="W59" s="16"/>
    </row>
    <row r="60" spans="1:23" s="5" customFormat="1" ht="19" x14ac:dyDescent="0.2">
      <c r="A60" s="207"/>
      <c r="B60" s="189"/>
      <c r="C60" s="171"/>
      <c r="D60" s="171"/>
      <c r="E60" s="191"/>
      <c r="F60" s="192"/>
      <c r="G60" s="193"/>
      <c r="H60" s="194"/>
      <c r="I60" s="172"/>
      <c r="J60" s="173"/>
      <c r="K60" s="195"/>
      <c r="L60" s="196"/>
      <c r="M60" s="196"/>
      <c r="N60" s="197"/>
      <c r="O60" s="157"/>
      <c r="P60" s="198"/>
      <c r="Q60" s="199"/>
      <c r="R60" s="147"/>
      <c r="T60" s="18"/>
      <c r="V60" s="16"/>
      <c r="W60" s="16"/>
    </row>
    <row r="61" spans="1:23" s="5" customFormat="1" ht="19" x14ac:dyDescent="0.2">
      <c r="A61" s="208"/>
      <c r="B61" s="141" t="s">
        <v>193</v>
      </c>
      <c r="C61" s="209"/>
      <c r="D61" s="209"/>
      <c r="E61" s="202"/>
      <c r="F61" s="210"/>
      <c r="G61" s="193"/>
      <c r="H61" s="211"/>
      <c r="I61" s="172"/>
      <c r="J61" s="173"/>
      <c r="K61" s="212"/>
      <c r="L61" s="196"/>
      <c r="M61" s="196"/>
      <c r="N61" s="213"/>
      <c r="O61" s="157"/>
      <c r="P61" s="214"/>
      <c r="Q61" s="215"/>
      <c r="R61" s="147"/>
      <c r="T61" s="18"/>
      <c r="V61" s="16"/>
      <c r="W61" s="16"/>
    </row>
    <row r="62" spans="1:23" s="5" customFormat="1" ht="19" x14ac:dyDescent="0.2">
      <c r="A62" s="148"/>
      <c r="B62" s="149"/>
      <c r="C62" s="149"/>
      <c r="D62" s="171"/>
      <c r="E62" s="202"/>
      <c r="F62" s="151"/>
      <c r="G62" s="151"/>
      <c r="H62" s="152"/>
      <c r="I62" s="172"/>
      <c r="J62" s="173"/>
      <c r="K62" s="155"/>
      <c r="L62" s="155"/>
      <c r="M62" s="155"/>
      <c r="N62" s="156"/>
      <c r="O62" s="157"/>
      <c r="P62" s="158"/>
      <c r="Q62" s="159"/>
      <c r="R62" s="147"/>
      <c r="T62" s="18"/>
      <c r="V62" s="16"/>
      <c r="W62" s="16"/>
    </row>
    <row r="63" spans="1:23" s="5" customFormat="1" ht="20" x14ac:dyDescent="0.25">
      <c r="A63" s="180"/>
      <c r="B63" s="141" t="s">
        <v>194</v>
      </c>
      <c r="C63" s="142"/>
      <c r="D63" s="181"/>
      <c r="E63" s="181"/>
      <c r="F63" s="143"/>
      <c r="G63" s="144"/>
      <c r="H63" s="145"/>
      <c r="I63" s="146"/>
      <c r="J63" s="143"/>
      <c r="K63" s="143"/>
      <c r="L63" s="144"/>
      <c r="M63" s="144"/>
      <c r="N63" s="145"/>
      <c r="O63" s="133"/>
      <c r="P63" s="143"/>
      <c r="Q63" s="145"/>
      <c r="R63" s="24"/>
      <c r="S63"/>
      <c r="T63" s="23"/>
      <c r="U63"/>
      <c r="V63"/>
      <c r="W63" s="16"/>
    </row>
    <row r="64" spans="1:23" s="5" customFormat="1" ht="19" x14ac:dyDescent="0.2">
      <c r="A64" s="208"/>
      <c r="B64" s="141" t="s">
        <v>154</v>
      </c>
      <c r="C64" s="216"/>
      <c r="D64" s="216"/>
      <c r="E64" s="157"/>
      <c r="F64" s="210"/>
      <c r="G64" s="193"/>
      <c r="H64" s="211"/>
      <c r="I64" s="172"/>
      <c r="J64" s="173"/>
      <c r="K64" s="212"/>
      <c r="L64" s="196"/>
      <c r="M64" s="196"/>
      <c r="N64" s="213"/>
      <c r="O64" s="157"/>
      <c r="P64" s="217"/>
      <c r="Q64" s="215"/>
      <c r="R64" s="147"/>
      <c r="T64" s="18"/>
      <c r="V64" s="16"/>
      <c r="W64" s="16"/>
    </row>
    <row r="65" spans="1:23" s="5" customFormat="1" ht="19" x14ac:dyDescent="0.2">
      <c r="A65" s="182">
        <v>47</v>
      </c>
      <c r="B65" s="149" t="s">
        <v>138</v>
      </c>
      <c r="C65" s="149" t="s">
        <v>305</v>
      </c>
      <c r="D65" s="149" t="s">
        <v>8</v>
      </c>
      <c r="E65" s="202"/>
      <c r="F65" s="151">
        <v>63.6</v>
      </c>
      <c r="G65" s="151" t="s">
        <v>332</v>
      </c>
      <c r="H65" s="152">
        <f t="shared" ref="H65:H67" si="53">IF(F65=0,0,((AVERAGE(F65:G65))/V65))</f>
        <v>0.42399999999999999</v>
      </c>
      <c r="I65" s="153">
        <f t="shared" ref="I65:I67" si="54">H65*100</f>
        <v>42.4</v>
      </c>
      <c r="J65" s="154">
        <f t="shared" ref="J65:J67" si="55">100-I65</f>
        <v>57.6</v>
      </c>
      <c r="K65" s="155">
        <v>4</v>
      </c>
      <c r="L65" s="155">
        <f t="shared" ref="L65:L67" si="56">IF((W65&gt;N65),0,(N65-W65)*0.4)</f>
        <v>0</v>
      </c>
      <c r="M65" s="155">
        <f t="shared" ref="M65:M67" si="57">L65+K65</f>
        <v>4</v>
      </c>
      <c r="N65" s="156">
        <v>55.57</v>
      </c>
      <c r="O65" s="157"/>
      <c r="P65" s="158">
        <f t="shared" ref="P65:P67" si="58">J65+M65</f>
        <v>61.6</v>
      </c>
      <c r="Q65" s="159">
        <v>1</v>
      </c>
      <c r="R65" s="147" t="str">
        <f t="shared" ref="R65:R67" si="59">IFERROR(IF(OR(Q65&gt;10,Q65=0),"-",IF(AND((AVERAGE(F65:G65)/V65)&gt;0.55,M65&lt;=4 ),"Q","-")),0)</f>
        <v>-</v>
      </c>
      <c r="T65" s="18">
        <f t="shared" ref="T65:T67" si="60">IF(Q65=0,,IF(Q65&gt;10,,11-(Q65)))</f>
        <v>10</v>
      </c>
      <c r="V65" s="16">
        <v>150</v>
      </c>
      <c r="W65" s="201">
        <v>67</v>
      </c>
    </row>
    <row r="66" spans="1:23" s="5" customFormat="1" ht="19" x14ac:dyDescent="0.2">
      <c r="A66" s="182">
        <v>48</v>
      </c>
      <c r="B66" s="149" t="s">
        <v>306</v>
      </c>
      <c r="C66" s="149" t="s">
        <v>307</v>
      </c>
      <c r="D66" s="149" t="s">
        <v>9</v>
      </c>
      <c r="E66" s="202"/>
      <c r="F66" s="151">
        <v>63</v>
      </c>
      <c r="G66" s="151" t="s">
        <v>332</v>
      </c>
      <c r="H66" s="152">
        <f t="shared" si="53"/>
        <v>0.42</v>
      </c>
      <c r="I66" s="153">
        <f t="shared" si="54"/>
        <v>42</v>
      </c>
      <c r="J66" s="154">
        <f t="shared" si="55"/>
        <v>58</v>
      </c>
      <c r="K66" s="155">
        <v>0</v>
      </c>
      <c r="L66" s="155">
        <f t="shared" si="56"/>
        <v>14.124000000000002</v>
      </c>
      <c r="M66" s="155">
        <f t="shared" si="57"/>
        <v>14.124000000000002</v>
      </c>
      <c r="N66" s="156">
        <v>102.31</v>
      </c>
      <c r="O66" s="157"/>
      <c r="P66" s="158">
        <f t="shared" si="58"/>
        <v>72.123999999999995</v>
      </c>
      <c r="Q66" s="159">
        <v>3</v>
      </c>
      <c r="R66" s="147" t="str">
        <f t="shared" si="59"/>
        <v>-</v>
      </c>
      <c r="T66" s="18">
        <f t="shared" si="60"/>
        <v>8</v>
      </c>
      <c r="V66" s="16">
        <v>150</v>
      </c>
      <c r="W66" s="201">
        <v>67</v>
      </c>
    </row>
    <row r="67" spans="1:23" s="5" customFormat="1" ht="19" x14ac:dyDescent="0.2">
      <c r="A67" s="182">
        <v>49</v>
      </c>
      <c r="B67" s="149" t="s">
        <v>308</v>
      </c>
      <c r="C67" s="149" t="s">
        <v>309</v>
      </c>
      <c r="D67" s="149" t="s">
        <v>252</v>
      </c>
      <c r="E67" s="202"/>
      <c r="F67" s="151">
        <v>65.8</v>
      </c>
      <c r="G67" s="151" t="s">
        <v>332</v>
      </c>
      <c r="H67" s="152">
        <f t="shared" si="53"/>
        <v>0.43866666666666665</v>
      </c>
      <c r="I67" s="153">
        <f t="shared" si="54"/>
        <v>43.866666666666667</v>
      </c>
      <c r="J67" s="154">
        <f t="shared" si="55"/>
        <v>56.133333333333333</v>
      </c>
      <c r="K67" s="155">
        <v>0</v>
      </c>
      <c r="L67" s="155">
        <f t="shared" si="56"/>
        <v>8.4</v>
      </c>
      <c r="M67" s="155">
        <f t="shared" si="57"/>
        <v>8.4</v>
      </c>
      <c r="N67" s="156">
        <v>88</v>
      </c>
      <c r="O67" s="157"/>
      <c r="P67" s="158">
        <f t="shared" si="58"/>
        <v>64.533333333333331</v>
      </c>
      <c r="Q67" s="159">
        <v>2</v>
      </c>
      <c r="R67" s="147" t="str">
        <f t="shared" si="59"/>
        <v>-</v>
      </c>
      <c r="T67" s="18">
        <f t="shared" si="60"/>
        <v>9</v>
      </c>
      <c r="V67" s="16">
        <v>150</v>
      </c>
      <c r="W67" s="201">
        <v>67</v>
      </c>
    </row>
    <row r="68" spans="1:23" s="5" customFormat="1" ht="16" x14ac:dyDescent="0.15">
      <c r="A68" s="66"/>
      <c r="B68" s="87"/>
      <c r="C68" s="87"/>
      <c r="D68" s="87"/>
      <c r="E68" s="10"/>
      <c r="F68" s="35"/>
      <c r="G68" s="35"/>
      <c r="H68" s="7"/>
      <c r="I68" s="120"/>
      <c r="J68" s="37"/>
      <c r="K68" s="21"/>
      <c r="L68" s="21"/>
      <c r="M68" s="21"/>
      <c r="N68" s="20"/>
      <c r="P68" s="44"/>
      <c r="Q68" s="18"/>
      <c r="R68" s="17"/>
      <c r="T68" s="18"/>
      <c r="V68" s="16"/>
      <c r="W68" s="16"/>
    </row>
    <row r="69" spans="1:23" s="5" customFormat="1" ht="16" x14ac:dyDescent="0.15">
      <c r="A69" s="66"/>
      <c r="B69" s="87"/>
      <c r="C69" s="87"/>
      <c r="D69" s="87"/>
      <c r="E69" s="10"/>
      <c r="F69" s="35"/>
      <c r="G69" s="35"/>
      <c r="H69" s="7"/>
      <c r="I69" s="120"/>
      <c r="J69" s="37"/>
      <c r="K69" s="21"/>
      <c r="L69" s="21"/>
      <c r="M69" s="21"/>
      <c r="N69" s="20"/>
      <c r="P69" s="44"/>
      <c r="Q69" s="18"/>
      <c r="R69" s="17"/>
      <c r="T69" s="18"/>
      <c r="V69" s="16"/>
      <c r="W69" s="16"/>
    </row>
    <row r="70" spans="1:23" s="157" customFormat="1" ht="19.5" customHeight="1" x14ac:dyDescent="0.25">
      <c r="A70" s="200"/>
      <c r="B70" s="141" t="s">
        <v>199</v>
      </c>
      <c r="C70" s="142"/>
      <c r="D70" s="181"/>
      <c r="E70" s="181"/>
      <c r="F70" s="143"/>
      <c r="G70" s="144"/>
      <c r="H70" s="145"/>
      <c r="I70" s="146"/>
      <c r="J70" s="143"/>
      <c r="K70" s="143"/>
      <c r="L70" s="144"/>
      <c r="M70" s="144"/>
      <c r="N70" s="145"/>
      <c r="O70" s="133"/>
      <c r="P70" s="143"/>
      <c r="Q70" s="145"/>
      <c r="R70" s="24"/>
      <c r="S70" s="133"/>
      <c r="T70" s="184"/>
      <c r="U70" s="133"/>
      <c r="V70" s="133"/>
      <c r="W70" s="201"/>
    </row>
    <row r="71" spans="1:23" s="157" customFormat="1" ht="19.5" customHeight="1" x14ac:dyDescent="0.2">
      <c r="A71" s="182">
        <v>69</v>
      </c>
      <c r="B71" s="149" t="s">
        <v>310</v>
      </c>
      <c r="C71" s="149" t="s">
        <v>311</v>
      </c>
      <c r="D71" s="149" t="s">
        <v>7</v>
      </c>
      <c r="E71" s="202"/>
      <c r="F71" s="155">
        <v>184</v>
      </c>
      <c r="G71" s="155">
        <v>167</v>
      </c>
      <c r="H71" s="152">
        <f t="shared" ref="H71:H77" si="61">IF(F71=0,0,((AVERAGE(F71:G71))/V71))</f>
        <v>0.62678571428571428</v>
      </c>
      <c r="I71" s="153">
        <f t="shared" ref="I71:I77" si="62">H71*100</f>
        <v>62.678571428571431</v>
      </c>
      <c r="J71" s="154">
        <f t="shared" ref="J71:J77" si="63">100-I71</f>
        <v>37.321428571428569</v>
      </c>
      <c r="K71" s="155">
        <v>0</v>
      </c>
      <c r="L71" s="155">
        <f t="shared" ref="L71:L77" si="64">IF((W71&gt;N71),0,(N71-W71)*0.4)</f>
        <v>0</v>
      </c>
      <c r="M71" s="155">
        <f t="shared" ref="M71:M77" si="65">L71+K71</f>
        <v>0</v>
      </c>
      <c r="N71" s="156">
        <v>65.319999999999993</v>
      </c>
      <c r="P71" s="158">
        <f t="shared" ref="P71:P77" si="66">J71+M71</f>
        <v>37.321428571428569</v>
      </c>
      <c r="Q71" s="159">
        <v>4</v>
      </c>
      <c r="R71" s="147" t="str">
        <f t="shared" ref="R71:R77" si="67">IFERROR(IF(OR(Q71&gt;10,Q71=0),"-",IF(AND((AVERAGE(F71:G71)/V71)&gt;0.55,M71&lt;=4 ),"Q","-")),0)</f>
        <v>Q</v>
      </c>
      <c r="T71" s="159">
        <f t="shared" ref="T71:T77" si="68">IF(Q71=0,,IF(Q71&gt;10,,11-(Q71)))</f>
        <v>7</v>
      </c>
      <c r="V71" s="201">
        <v>280</v>
      </c>
      <c r="W71" s="201">
        <v>67</v>
      </c>
    </row>
    <row r="72" spans="1:23" s="157" customFormat="1" ht="19.5" customHeight="1" x14ac:dyDescent="0.2">
      <c r="A72" s="182">
        <v>68</v>
      </c>
      <c r="B72" s="149" t="s">
        <v>312</v>
      </c>
      <c r="C72" s="149" t="s">
        <v>313</v>
      </c>
      <c r="D72" s="149" t="s">
        <v>314</v>
      </c>
      <c r="E72" s="202"/>
      <c r="F72" s="155">
        <v>184.5</v>
      </c>
      <c r="G72" s="155">
        <v>177.5</v>
      </c>
      <c r="H72" s="152">
        <f t="shared" si="61"/>
        <v>0.64642857142857146</v>
      </c>
      <c r="I72" s="153">
        <f t="shared" si="62"/>
        <v>64.642857142857153</v>
      </c>
      <c r="J72" s="154">
        <f t="shared" si="63"/>
        <v>35.357142857142847</v>
      </c>
      <c r="K72" s="155">
        <v>0</v>
      </c>
      <c r="L72" s="155">
        <f t="shared" si="64"/>
        <v>0</v>
      </c>
      <c r="M72" s="155">
        <f t="shared" si="65"/>
        <v>0</v>
      </c>
      <c r="N72" s="156">
        <v>63.22</v>
      </c>
      <c r="P72" s="158">
        <f t="shared" si="66"/>
        <v>35.357142857142847</v>
      </c>
      <c r="Q72" s="159">
        <v>2</v>
      </c>
      <c r="R72" s="147" t="str">
        <f t="shared" si="67"/>
        <v>Q</v>
      </c>
      <c r="T72" s="159">
        <f t="shared" si="68"/>
        <v>9</v>
      </c>
      <c r="V72" s="201">
        <v>280</v>
      </c>
      <c r="W72" s="201">
        <v>67</v>
      </c>
    </row>
    <row r="73" spans="1:23" s="168" customFormat="1" ht="19.5" customHeight="1" x14ac:dyDescent="0.2">
      <c r="A73" s="206">
        <v>70</v>
      </c>
      <c r="B73" s="160" t="s">
        <v>315</v>
      </c>
      <c r="C73" s="160" t="s">
        <v>316</v>
      </c>
      <c r="D73" s="160" t="s">
        <v>274</v>
      </c>
      <c r="E73" s="203"/>
      <c r="F73" s="166"/>
      <c r="G73" s="166"/>
      <c r="H73" s="163">
        <f t="shared" si="61"/>
        <v>0</v>
      </c>
      <c r="I73" s="164">
        <f t="shared" si="62"/>
        <v>0</v>
      </c>
      <c r="J73" s="165">
        <f t="shared" si="63"/>
        <v>100</v>
      </c>
      <c r="K73" s="166" t="s">
        <v>330</v>
      </c>
      <c r="L73" s="155">
        <f t="shared" si="64"/>
        <v>0</v>
      </c>
      <c r="M73" s="155" t="e">
        <f t="shared" si="65"/>
        <v>#VALUE!</v>
      </c>
      <c r="N73" s="167"/>
      <c r="P73" s="169" t="e">
        <f t="shared" si="66"/>
        <v>#VALUE!</v>
      </c>
      <c r="Q73" s="170" t="s">
        <v>331</v>
      </c>
      <c r="R73" s="147" t="str">
        <f t="shared" si="67"/>
        <v>-</v>
      </c>
      <c r="T73" s="170">
        <f t="shared" si="68"/>
        <v>0</v>
      </c>
      <c r="V73" s="204">
        <v>280</v>
      </c>
      <c r="W73" s="201">
        <v>67</v>
      </c>
    </row>
    <row r="74" spans="1:23" s="157" customFormat="1" ht="19.5" customHeight="1" x14ac:dyDescent="0.2">
      <c r="A74" s="182">
        <v>60</v>
      </c>
      <c r="B74" s="149" t="s">
        <v>317</v>
      </c>
      <c r="C74" s="149" t="s">
        <v>318</v>
      </c>
      <c r="D74" s="149" t="s">
        <v>9</v>
      </c>
      <c r="E74" s="202"/>
      <c r="F74" s="155">
        <v>179.5</v>
      </c>
      <c r="G74" s="155">
        <v>176.5</v>
      </c>
      <c r="H74" s="152">
        <f t="shared" si="61"/>
        <v>0.63571428571428568</v>
      </c>
      <c r="I74" s="153">
        <f t="shared" si="62"/>
        <v>63.571428571428569</v>
      </c>
      <c r="J74" s="154">
        <f t="shared" si="63"/>
        <v>36.428571428571431</v>
      </c>
      <c r="K74" s="155">
        <v>0</v>
      </c>
      <c r="L74" s="155">
        <f t="shared" si="64"/>
        <v>0</v>
      </c>
      <c r="M74" s="155">
        <f t="shared" si="65"/>
        <v>0</v>
      </c>
      <c r="N74" s="156">
        <v>63.63</v>
      </c>
      <c r="P74" s="158">
        <f t="shared" si="66"/>
        <v>36.428571428571431</v>
      </c>
      <c r="Q74" s="159">
        <v>3</v>
      </c>
      <c r="R74" s="147" t="str">
        <f t="shared" si="67"/>
        <v>Q</v>
      </c>
      <c r="T74" s="159">
        <f t="shared" si="68"/>
        <v>8</v>
      </c>
      <c r="V74" s="201">
        <v>280</v>
      </c>
      <c r="W74" s="201">
        <v>67</v>
      </c>
    </row>
    <row r="75" spans="1:23" s="157" customFormat="1" ht="19.5" customHeight="1" x14ac:dyDescent="0.2">
      <c r="A75" s="182">
        <v>61</v>
      </c>
      <c r="B75" s="171" t="s">
        <v>319</v>
      </c>
      <c r="C75" s="171" t="s">
        <v>113</v>
      </c>
      <c r="D75" s="171" t="s">
        <v>9</v>
      </c>
      <c r="E75" s="202"/>
      <c r="F75" s="155">
        <v>177.5</v>
      </c>
      <c r="G75" s="155">
        <v>175</v>
      </c>
      <c r="H75" s="152">
        <f t="shared" si="61"/>
        <v>0.6294642857142857</v>
      </c>
      <c r="I75" s="153">
        <f t="shared" si="62"/>
        <v>62.946428571428569</v>
      </c>
      <c r="J75" s="154">
        <f t="shared" si="63"/>
        <v>37.053571428571431</v>
      </c>
      <c r="K75" s="155">
        <v>0</v>
      </c>
      <c r="L75" s="155">
        <f t="shared" si="64"/>
        <v>2.4759999999999991</v>
      </c>
      <c r="M75" s="155">
        <f t="shared" si="65"/>
        <v>2.4759999999999991</v>
      </c>
      <c r="N75" s="156">
        <v>73.19</v>
      </c>
      <c r="P75" s="158">
        <f t="shared" si="66"/>
        <v>39.52957142857143</v>
      </c>
      <c r="Q75" s="159">
        <v>6</v>
      </c>
      <c r="R75" s="147" t="str">
        <f t="shared" si="67"/>
        <v>Q</v>
      </c>
      <c r="T75" s="159">
        <f t="shared" si="68"/>
        <v>5</v>
      </c>
      <c r="V75" s="201">
        <v>280</v>
      </c>
      <c r="W75" s="201">
        <v>67</v>
      </c>
    </row>
    <row r="76" spans="1:23" s="157" customFormat="1" ht="19.5" customHeight="1" x14ac:dyDescent="0.2">
      <c r="A76" s="182">
        <v>62</v>
      </c>
      <c r="B76" s="149" t="s">
        <v>320</v>
      </c>
      <c r="C76" s="205" t="s">
        <v>321</v>
      </c>
      <c r="D76" s="205" t="s">
        <v>7</v>
      </c>
      <c r="E76" s="202"/>
      <c r="F76" s="155">
        <v>180</v>
      </c>
      <c r="G76" s="155">
        <v>174.5</v>
      </c>
      <c r="H76" s="152">
        <f t="shared" si="61"/>
        <v>0.63303571428571426</v>
      </c>
      <c r="I76" s="153">
        <f t="shared" si="62"/>
        <v>63.303571428571423</v>
      </c>
      <c r="J76" s="154">
        <f t="shared" si="63"/>
        <v>36.696428571428577</v>
      </c>
      <c r="K76" s="155">
        <v>0</v>
      </c>
      <c r="L76" s="155">
        <f t="shared" si="64"/>
        <v>2.5879999999999996</v>
      </c>
      <c r="M76" s="155">
        <f t="shared" si="65"/>
        <v>2.5879999999999996</v>
      </c>
      <c r="N76" s="156">
        <v>73.47</v>
      </c>
      <c r="P76" s="158">
        <f t="shared" si="66"/>
        <v>39.284428571428577</v>
      </c>
      <c r="Q76" s="159">
        <v>5</v>
      </c>
      <c r="R76" s="147" t="str">
        <f t="shared" si="67"/>
        <v>Q</v>
      </c>
      <c r="T76" s="159">
        <f t="shared" si="68"/>
        <v>6</v>
      </c>
      <c r="V76" s="201">
        <v>280</v>
      </c>
      <c r="W76" s="201">
        <v>67</v>
      </c>
    </row>
    <row r="77" spans="1:23" s="157" customFormat="1" ht="19.5" customHeight="1" x14ac:dyDescent="0.2">
      <c r="A77" s="182">
        <v>64</v>
      </c>
      <c r="B77" s="149" t="s">
        <v>322</v>
      </c>
      <c r="C77" s="149" t="s">
        <v>323</v>
      </c>
      <c r="D77" s="149" t="s">
        <v>9</v>
      </c>
      <c r="E77" s="202"/>
      <c r="F77" s="155">
        <v>189.5</v>
      </c>
      <c r="G77" s="155">
        <v>188</v>
      </c>
      <c r="H77" s="152">
        <f t="shared" si="61"/>
        <v>0.6741071428571429</v>
      </c>
      <c r="I77" s="153">
        <f t="shared" si="62"/>
        <v>67.410714285714292</v>
      </c>
      <c r="J77" s="154">
        <f t="shared" si="63"/>
        <v>32.589285714285708</v>
      </c>
      <c r="K77" s="155">
        <v>0</v>
      </c>
      <c r="L77" s="155">
        <f t="shared" si="64"/>
        <v>2.5240000000000009</v>
      </c>
      <c r="M77" s="155">
        <f t="shared" si="65"/>
        <v>2.5240000000000009</v>
      </c>
      <c r="N77" s="156">
        <v>73.31</v>
      </c>
      <c r="P77" s="158">
        <f t="shared" si="66"/>
        <v>35.113285714285709</v>
      </c>
      <c r="Q77" s="159">
        <v>1</v>
      </c>
      <c r="R77" s="147" t="str">
        <f t="shared" si="67"/>
        <v>Q</v>
      </c>
      <c r="T77" s="159">
        <f t="shared" si="68"/>
        <v>10</v>
      </c>
      <c r="V77" s="201">
        <v>280</v>
      </c>
      <c r="W77" s="201">
        <v>67</v>
      </c>
    </row>
    <row r="78" spans="1:23" s="5" customFormat="1" ht="19.5" customHeight="1" x14ac:dyDescent="0.15">
      <c r="A78" s="66"/>
      <c r="B78" s="80"/>
      <c r="C78" s="64"/>
      <c r="D78" s="64"/>
      <c r="E78" s="10"/>
      <c r="F78" s="21"/>
      <c r="G78" s="21"/>
      <c r="H78" s="7"/>
      <c r="I78" s="120"/>
      <c r="J78" s="37"/>
      <c r="K78" s="21"/>
      <c r="L78" s="21"/>
      <c r="M78" s="21"/>
      <c r="N78" s="20"/>
      <c r="P78" s="44"/>
      <c r="Q78" s="18"/>
      <c r="R78" s="17"/>
      <c r="T78" s="18"/>
      <c r="V78" s="16"/>
      <c r="W78" s="16"/>
    </row>
    <row r="79" spans="1:23" s="157" customFormat="1" ht="19.5" customHeight="1" x14ac:dyDescent="0.25">
      <c r="A79" s="200"/>
      <c r="B79" s="141" t="s">
        <v>155</v>
      </c>
      <c r="C79" s="142"/>
      <c r="D79" s="181"/>
      <c r="E79" s="181"/>
      <c r="F79" s="143"/>
      <c r="G79" s="144"/>
      <c r="H79" s="145"/>
      <c r="I79" s="146"/>
      <c r="J79" s="143"/>
      <c r="K79" s="143"/>
      <c r="L79" s="144"/>
      <c r="M79" s="144"/>
      <c r="N79" s="145"/>
      <c r="O79" s="133"/>
      <c r="P79" s="143"/>
      <c r="Q79" s="145"/>
      <c r="R79" s="24"/>
      <c r="S79" s="133"/>
      <c r="T79" s="184"/>
      <c r="U79" s="133"/>
      <c r="V79" s="133"/>
      <c r="W79" s="201"/>
    </row>
    <row r="80" spans="1:23" s="157" customFormat="1" ht="19.5" customHeight="1" x14ac:dyDescent="0.2">
      <c r="A80" s="182">
        <v>51</v>
      </c>
      <c r="B80" s="179" t="s">
        <v>324</v>
      </c>
      <c r="C80" s="171" t="s">
        <v>325</v>
      </c>
      <c r="D80" s="171" t="s">
        <v>8</v>
      </c>
      <c r="E80" s="202"/>
      <c r="F80" s="155">
        <v>59</v>
      </c>
      <c r="G80" s="155"/>
      <c r="H80" s="152">
        <f>IF(F80=0,0,((AVERAGE(F80:G80))/V80))</f>
        <v>0.39333333333333331</v>
      </c>
      <c r="I80" s="153">
        <f t="shared" ref="I80:I83" si="69">H80*100</f>
        <v>39.333333333333329</v>
      </c>
      <c r="J80" s="154">
        <f t="shared" ref="J80:J83" si="70">100-I80</f>
        <v>60.666666666666671</v>
      </c>
      <c r="K80" s="155">
        <v>0</v>
      </c>
      <c r="L80" s="155">
        <f t="shared" ref="L80:L83" si="71">IF((W80&gt;N80),0,(N80-W80)*0.4)</f>
        <v>0</v>
      </c>
      <c r="M80" s="155">
        <f t="shared" ref="M80:M83" si="72">L80+K80</f>
        <v>0</v>
      </c>
      <c r="N80" s="156">
        <v>67</v>
      </c>
      <c r="P80" s="158">
        <f>J80+M80</f>
        <v>60.666666666666671</v>
      </c>
      <c r="Q80" s="159">
        <v>3</v>
      </c>
      <c r="R80" s="147" t="str">
        <f t="shared" ref="R80:R83" si="73">IFERROR(IF(OR(Q80&gt;10,Q80=0),"-",IF(AND((AVERAGE(F80:G80)/V80)&gt;0.55,M80&lt;=4 ),"Q","-")),0)</f>
        <v>-</v>
      </c>
      <c r="T80" s="159">
        <f>IF(Q80=0,,IF(Q80&gt;10,,11-(Q80)))</f>
        <v>8</v>
      </c>
      <c r="V80" s="201">
        <v>150</v>
      </c>
      <c r="W80" s="201">
        <v>67</v>
      </c>
    </row>
    <row r="81" spans="1:23" s="157" customFormat="1" ht="19.5" customHeight="1" x14ac:dyDescent="0.2">
      <c r="A81" s="182">
        <v>52</v>
      </c>
      <c r="B81" s="179" t="s">
        <v>55</v>
      </c>
      <c r="C81" s="171" t="s">
        <v>210</v>
      </c>
      <c r="D81" s="171" t="s">
        <v>8</v>
      </c>
      <c r="E81" s="202"/>
      <c r="F81" s="155">
        <v>64.67</v>
      </c>
      <c r="G81" s="155"/>
      <c r="H81" s="152">
        <f>IF(F81=0,0,((AVERAGE(F81:G81))/V81))</f>
        <v>0.43113333333333337</v>
      </c>
      <c r="I81" s="153">
        <f t="shared" si="69"/>
        <v>43.113333333333337</v>
      </c>
      <c r="J81" s="154">
        <f t="shared" si="70"/>
        <v>56.886666666666663</v>
      </c>
      <c r="K81" s="155">
        <v>0</v>
      </c>
      <c r="L81" s="155">
        <f t="shared" si="71"/>
        <v>0</v>
      </c>
      <c r="M81" s="155">
        <f t="shared" si="72"/>
        <v>0</v>
      </c>
      <c r="N81" s="156">
        <v>67</v>
      </c>
      <c r="P81" s="158">
        <f>J81+M81</f>
        <v>56.886666666666663</v>
      </c>
      <c r="Q81" s="159">
        <v>2</v>
      </c>
      <c r="R81" s="147" t="str">
        <f t="shared" si="73"/>
        <v>-</v>
      </c>
      <c r="T81" s="159">
        <f>IF(Q81=0,,IF(Q81&gt;10,,11-(Q81)))</f>
        <v>9</v>
      </c>
      <c r="V81" s="201">
        <v>150</v>
      </c>
      <c r="W81" s="201">
        <v>67</v>
      </c>
    </row>
    <row r="82" spans="1:23" s="157" customFormat="1" ht="19.5" customHeight="1" x14ac:dyDescent="0.2">
      <c r="A82" s="182">
        <v>54</v>
      </c>
      <c r="B82" s="179" t="s">
        <v>326</v>
      </c>
      <c r="C82" s="171" t="s">
        <v>327</v>
      </c>
      <c r="D82" s="171" t="s">
        <v>8</v>
      </c>
      <c r="E82" s="202"/>
      <c r="F82" s="155">
        <v>59.67</v>
      </c>
      <c r="G82" s="155"/>
      <c r="H82" s="152">
        <f>IF(F82=0,0,((AVERAGE(F82:G82))/V82))</f>
        <v>0.39779999999999999</v>
      </c>
      <c r="I82" s="153">
        <f t="shared" si="69"/>
        <v>39.78</v>
      </c>
      <c r="J82" s="154">
        <f t="shared" si="70"/>
        <v>60.22</v>
      </c>
      <c r="K82" s="155" t="s">
        <v>331</v>
      </c>
      <c r="L82" s="155">
        <f t="shared" si="71"/>
        <v>0</v>
      </c>
      <c r="M82" s="155" t="e">
        <f t="shared" si="72"/>
        <v>#VALUE!</v>
      </c>
      <c r="N82" s="156">
        <v>67</v>
      </c>
      <c r="P82" s="158" t="e">
        <f>J82+M82</f>
        <v>#VALUE!</v>
      </c>
      <c r="Q82" s="159"/>
      <c r="R82" s="147" t="str">
        <f t="shared" si="73"/>
        <v>-</v>
      </c>
      <c r="T82" s="159">
        <f>IF(Q82=0,,IF(Q82&gt;10,,11-(Q82)))</f>
        <v>0</v>
      </c>
      <c r="V82" s="201">
        <v>150</v>
      </c>
      <c r="W82" s="201">
        <v>67</v>
      </c>
    </row>
    <row r="83" spans="1:23" s="157" customFormat="1" ht="19.5" customHeight="1" x14ac:dyDescent="0.2">
      <c r="A83" s="182">
        <v>55</v>
      </c>
      <c r="B83" s="149" t="s">
        <v>328</v>
      </c>
      <c r="C83" s="149" t="s">
        <v>329</v>
      </c>
      <c r="D83" s="171" t="s">
        <v>8</v>
      </c>
      <c r="E83" s="202"/>
      <c r="F83" s="155">
        <v>66</v>
      </c>
      <c r="G83" s="155"/>
      <c r="H83" s="152">
        <f>IF(F83=0,0,((AVERAGE(F83:G83))/V83))</f>
        <v>0.44</v>
      </c>
      <c r="I83" s="153">
        <f t="shared" si="69"/>
        <v>44</v>
      </c>
      <c r="J83" s="154">
        <f t="shared" si="70"/>
        <v>56</v>
      </c>
      <c r="K83" s="155">
        <v>0</v>
      </c>
      <c r="L83" s="155">
        <f t="shared" si="71"/>
        <v>0</v>
      </c>
      <c r="M83" s="155">
        <f t="shared" si="72"/>
        <v>0</v>
      </c>
      <c r="N83" s="156">
        <v>67</v>
      </c>
      <c r="P83" s="158">
        <f>J83+M83</f>
        <v>56</v>
      </c>
      <c r="Q83" s="159">
        <v>1</v>
      </c>
      <c r="R83" s="147" t="str">
        <f t="shared" si="73"/>
        <v>-</v>
      </c>
      <c r="T83" s="159">
        <f>IF(Q83=0,,IF(Q83&gt;10,,11-(Q83)))</f>
        <v>10</v>
      </c>
      <c r="V83" s="201">
        <v>150</v>
      </c>
      <c r="W83" s="201">
        <v>67</v>
      </c>
    </row>
  </sheetData>
  <sortState xmlns:xlrd2="http://schemas.microsoft.com/office/spreadsheetml/2017/richdata2" ref="A71:AA75">
    <sortCondition ref="P71:P75"/>
  </sortState>
  <mergeCells count="4">
    <mergeCell ref="R3:R4"/>
    <mergeCell ref="F3:H3"/>
    <mergeCell ref="K3:N3"/>
    <mergeCell ref="P3:Q3"/>
  </mergeCells>
  <conditionalFormatting sqref="R3:R43 R45:R61 R63:R67 R70:R83">
    <cfRule type="cellIs" dxfId="23" priority="9" operator="equal">
      <formula>"Q"</formula>
    </cfRule>
  </conditionalFormatting>
  <conditionalFormatting sqref="R68:R69">
    <cfRule type="cellIs" dxfId="22" priority="2" operator="equal">
      <formula>"Q"</formula>
    </cfRule>
  </conditionalFormatting>
  <conditionalFormatting sqref="R62">
    <cfRule type="cellIs" dxfId="21" priority="1" operator="equal">
      <formula>"Q"</formula>
    </cfRule>
  </conditionalFormatting>
  <pageMargins left="0.70866141732283472" right="0.70866141732283472" top="0.74803149606299213" bottom="0.74803149606299213" header="0.31496062992125984" footer="0.31496062992125984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V64"/>
  <sheetViews>
    <sheetView zoomScale="98" zoomScaleNormal="9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9" sqref="H9"/>
    </sheetView>
  </sheetViews>
  <sheetFormatPr baseColWidth="10" defaultColWidth="8.83203125" defaultRowHeight="15" x14ac:dyDescent="0.2"/>
  <cols>
    <col min="1" max="1" width="3.33203125" customWidth="1"/>
    <col min="2" max="2" width="8.33203125" customWidth="1"/>
    <col min="3" max="3" width="27.83203125" customWidth="1"/>
    <col min="4" max="4" width="31.6640625" style="9" customWidth="1"/>
    <col min="5" max="5" width="12.6640625" customWidth="1"/>
    <col min="6" max="9" width="10" customWidth="1"/>
    <col min="10" max="10" width="8.33203125" customWidth="1"/>
    <col min="11" max="12" width="10" customWidth="1"/>
    <col min="13" max="13" width="11.33203125" customWidth="1"/>
    <col min="14" max="14" width="10" customWidth="1"/>
    <col min="15" max="15" width="8.33203125" customWidth="1"/>
    <col min="16" max="16" width="1" customWidth="1"/>
    <col min="18" max="18" width="9.83203125" customWidth="1"/>
    <col min="19" max="19" width="9" style="1" customWidth="1"/>
    <col min="20" max="20" width="9.6640625" bestFit="1" customWidth="1"/>
    <col min="21" max="22" width="7.1640625" bestFit="1" customWidth="1"/>
  </cols>
  <sheetData>
    <row r="1" spans="2:22" ht="50.25" customHeight="1" x14ac:dyDescent="0.2">
      <c r="B1" s="242" t="s">
        <v>60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  <c r="T1" s="1"/>
    </row>
    <row r="2" spans="2:22" x14ac:dyDescent="0.2">
      <c r="D2"/>
      <c r="S2"/>
      <c r="T2" s="1"/>
    </row>
    <row r="3" spans="2:22" ht="26.25" customHeight="1" x14ac:dyDescent="0.2">
      <c r="F3" s="245"/>
      <c r="G3" s="245"/>
      <c r="H3" s="245"/>
      <c r="I3" s="45"/>
      <c r="J3" s="45"/>
      <c r="L3" s="46"/>
      <c r="M3" s="46"/>
      <c r="Q3" s="246">
        <f ca="1">NOW()</f>
        <v>45425.865138657406</v>
      </c>
      <c r="R3" s="246"/>
      <c r="S3" s="47"/>
      <c r="T3" s="1"/>
    </row>
    <row r="4" spans="2:22" ht="24" customHeight="1" x14ac:dyDescent="0.25">
      <c r="B4" s="48"/>
      <c r="C4" s="49"/>
      <c r="F4" s="247" t="s">
        <v>27</v>
      </c>
      <c r="G4" s="248"/>
      <c r="H4" s="249" t="s">
        <v>28</v>
      </c>
      <c r="I4" s="249" t="s">
        <v>29</v>
      </c>
      <c r="J4" s="236" t="s">
        <v>3</v>
      </c>
      <c r="K4" s="247" t="s">
        <v>30</v>
      </c>
      <c r="L4" s="248"/>
      <c r="M4" s="249" t="s">
        <v>31</v>
      </c>
      <c r="N4" s="249" t="s">
        <v>217</v>
      </c>
      <c r="O4" s="236" t="s">
        <v>3</v>
      </c>
      <c r="Q4" s="238" t="s">
        <v>32</v>
      </c>
      <c r="R4" s="238" t="s">
        <v>4</v>
      </c>
      <c r="S4" s="239" t="s">
        <v>12</v>
      </c>
      <c r="T4" s="241" t="s">
        <v>33</v>
      </c>
      <c r="U4" s="234" t="s">
        <v>34</v>
      </c>
      <c r="V4" s="234" t="s">
        <v>35</v>
      </c>
    </row>
    <row r="5" spans="2:22" ht="18" customHeight="1" x14ac:dyDescent="0.2">
      <c r="B5" s="50" t="s">
        <v>36</v>
      </c>
      <c r="C5" s="50" t="s">
        <v>37</v>
      </c>
      <c r="D5" s="50" t="s">
        <v>38</v>
      </c>
      <c r="E5" s="50" t="s">
        <v>39</v>
      </c>
      <c r="F5" s="51" t="s">
        <v>40</v>
      </c>
      <c r="G5" s="51" t="s">
        <v>41</v>
      </c>
      <c r="H5" s="250"/>
      <c r="I5" s="250"/>
      <c r="J5" s="237"/>
      <c r="K5" s="51" t="s">
        <v>40</v>
      </c>
      <c r="L5" s="51" t="s">
        <v>41</v>
      </c>
      <c r="M5" s="250"/>
      <c r="N5" s="250"/>
      <c r="O5" s="237"/>
      <c r="Q5" s="238"/>
      <c r="R5" s="238"/>
      <c r="S5" s="240"/>
      <c r="T5" s="241"/>
      <c r="U5" s="235"/>
      <c r="V5" s="235"/>
    </row>
    <row r="6" spans="2:22" ht="18" x14ac:dyDescent="0.2">
      <c r="B6" s="52"/>
      <c r="C6" s="53" t="s">
        <v>42</v>
      </c>
      <c r="D6" s="54" t="s">
        <v>61</v>
      </c>
      <c r="E6" s="55"/>
      <c r="F6" s="69"/>
      <c r="G6" s="70"/>
      <c r="H6" s="70"/>
      <c r="I6" s="70"/>
      <c r="J6" s="71"/>
      <c r="K6" s="69"/>
      <c r="L6" s="70"/>
      <c r="M6" s="70"/>
      <c r="N6" s="70"/>
      <c r="O6" s="71"/>
      <c r="Q6" s="72"/>
      <c r="R6" s="73"/>
      <c r="S6" s="24"/>
      <c r="T6" s="56"/>
    </row>
    <row r="7" spans="2:22" ht="19" x14ac:dyDescent="0.2">
      <c r="B7" s="66">
        <v>4</v>
      </c>
      <c r="C7" s="87" t="s">
        <v>68</v>
      </c>
      <c r="D7" s="87" t="s">
        <v>69</v>
      </c>
      <c r="E7" s="87" t="s">
        <v>9</v>
      </c>
      <c r="F7" s="57">
        <v>72.5</v>
      </c>
      <c r="G7" s="57">
        <v>67.5</v>
      </c>
      <c r="H7" s="58">
        <f>IF(F7=0,0,AVERAGE(F7:G7)/U7)</f>
        <v>0.63636363636363635</v>
      </c>
      <c r="I7" s="59">
        <v>1</v>
      </c>
      <c r="J7" s="6">
        <f>IF(I7=0,,IF(I7&gt;10,,11-(I7)))</f>
        <v>10</v>
      </c>
      <c r="K7" s="57">
        <f>6.5*2+7+6.5+7+6.5*2+7+6.5+7*2+6.5</f>
        <v>80.5</v>
      </c>
      <c r="L7" s="57">
        <f>7.5+6.5+6*2+6.5+7*2+6.5+6.5*3+7</f>
        <v>79.5</v>
      </c>
      <c r="M7" s="58">
        <f>IF(K7=0,0,AVERAGE(K7:L7)/V7)</f>
        <v>0.66666666666666663</v>
      </c>
      <c r="N7" s="59">
        <v>1</v>
      </c>
      <c r="O7" s="6">
        <f>IF(N7=0,,IF(N7&gt;10,,11-(N7)))</f>
        <v>10</v>
      </c>
      <c r="Q7" s="60">
        <f>J7+O7</f>
        <v>20</v>
      </c>
      <c r="R7" s="61">
        <v>1</v>
      </c>
      <c r="S7" s="8" t="str">
        <f>IF(OR(R7&gt;10,R7=0),"-",IF(AND(H7&gt;=0.55,M7&gt;=0.55),"Q2",IF(OR(H7&gt;=0.55,M7&gt;=0.55),"Q1","-")))</f>
        <v>Q2</v>
      </c>
      <c r="T7" s="62">
        <f>IFERROR(AVERAGE(H7,M7),0)</f>
        <v>0.65151515151515149</v>
      </c>
      <c r="U7" s="63">
        <v>110</v>
      </c>
      <c r="V7" s="63">
        <v>120</v>
      </c>
    </row>
    <row r="8" spans="2:22" ht="19" x14ac:dyDescent="0.2">
      <c r="B8" s="66">
        <v>1</v>
      </c>
      <c r="C8" s="87" t="s">
        <v>52</v>
      </c>
      <c r="D8" s="87" t="s">
        <v>62</v>
      </c>
      <c r="E8" s="87" t="s">
        <v>49</v>
      </c>
      <c r="F8" s="57">
        <v>65</v>
      </c>
      <c r="G8" s="57">
        <v>63.5</v>
      </c>
      <c r="H8" s="58">
        <f>IF(F8=0,0,AVERAGE(F8:G8)/U8)</f>
        <v>0.58409090909090911</v>
      </c>
      <c r="I8" s="59">
        <v>2</v>
      </c>
      <c r="J8" s="6">
        <f>IF(I8=0,,IF(I8&gt;10,,11-(I8)))</f>
        <v>9</v>
      </c>
      <c r="K8" s="57">
        <f>5.5+6+5.5+6*2+5.5+6*2+6*2+5.5+6.5</f>
        <v>70.5</v>
      </c>
      <c r="L8" s="57">
        <f>5*5+5*3+5*3+5</f>
        <v>60</v>
      </c>
      <c r="M8" s="58">
        <f>IF(K8=0,0,AVERAGE(K8:L8)/V8)</f>
        <v>0.54374999999999996</v>
      </c>
      <c r="N8" s="59">
        <v>4</v>
      </c>
      <c r="O8" s="6">
        <f>IF(N8=0,,IF(N8&gt;10,,11-(N8)))</f>
        <v>7</v>
      </c>
      <c r="Q8" s="60">
        <f>J8+O8</f>
        <v>16</v>
      </c>
      <c r="R8" s="61">
        <v>3</v>
      </c>
      <c r="S8" s="8" t="str">
        <f>IF(OR(R8&gt;10,R8=0),"-",IF(AND(H8&gt;=0.55,M8&gt;=0.55),"Q2",IF(OR(H8&gt;=0.55,M8&gt;=0.55),"Q1","-")))</f>
        <v>Q1</v>
      </c>
      <c r="T8" s="62">
        <f>IFERROR(AVERAGE(H8,M8),0)</f>
        <v>0.56392045454545459</v>
      </c>
      <c r="U8" s="63">
        <v>110</v>
      </c>
      <c r="V8" s="63">
        <v>120</v>
      </c>
    </row>
    <row r="9" spans="2:22" ht="19" x14ac:dyDescent="0.2">
      <c r="B9" s="66">
        <v>2</v>
      </c>
      <c r="C9" s="87" t="s">
        <v>63</v>
      </c>
      <c r="D9" s="87" t="s">
        <v>64</v>
      </c>
      <c r="E9" s="87" t="s">
        <v>8</v>
      </c>
      <c r="F9" s="57">
        <v>62.5</v>
      </c>
      <c r="G9" s="57">
        <v>64</v>
      </c>
      <c r="H9" s="58">
        <f>IF(F9=0,0,AVERAGE(F9:G9)/U9)</f>
        <v>0.57499999999999996</v>
      </c>
      <c r="I9" s="59">
        <v>3</v>
      </c>
      <c r="J9" s="6">
        <f>IF(I9=0,,IF(I9&gt;10,,11-(I9)))</f>
        <v>8</v>
      </c>
      <c r="K9" s="57">
        <f>6+6.5+5.5+6*2+6*2+6.5+6.5*2+6+5.5</f>
        <v>73</v>
      </c>
      <c r="L9" s="57">
        <f>5+5.5+5*3+5*3+5*3+5</f>
        <v>60.5</v>
      </c>
      <c r="M9" s="58">
        <f>IF(K9=0,0,AVERAGE(K9:L9)/V9)</f>
        <v>0.55625000000000002</v>
      </c>
      <c r="N9" s="59">
        <v>2</v>
      </c>
      <c r="O9" s="6">
        <f>IF(N9=0,,IF(N9&gt;10,,11-(N9)))</f>
        <v>9</v>
      </c>
      <c r="Q9" s="60">
        <f>J9+O9</f>
        <v>17</v>
      </c>
      <c r="R9" s="61">
        <v>2</v>
      </c>
      <c r="S9" s="8" t="str">
        <f>IF(OR(R9&gt;10,R9=0),"-",IF(AND(H9&gt;=0.55,M9&gt;=0.55),"Q2",IF(OR(H9&gt;=0.55,M9&gt;=0.55),"Q1","-")))</f>
        <v>Q2</v>
      </c>
      <c r="T9" s="62">
        <f>IFERROR(AVERAGE(H9,M9),0)</f>
        <v>0.56562500000000004</v>
      </c>
      <c r="U9" s="63">
        <v>110</v>
      </c>
      <c r="V9" s="63">
        <v>120</v>
      </c>
    </row>
    <row r="10" spans="2:22" ht="19" x14ac:dyDescent="0.2">
      <c r="B10" s="66">
        <v>3</v>
      </c>
      <c r="C10" s="87" t="s">
        <v>65</v>
      </c>
      <c r="D10" s="87" t="s">
        <v>66</v>
      </c>
      <c r="E10" s="87" t="s">
        <v>67</v>
      </c>
      <c r="F10" s="57">
        <v>60</v>
      </c>
      <c r="G10" s="57">
        <v>62.5</v>
      </c>
      <c r="H10" s="58">
        <f>IF(F10=0,0,AVERAGE(F10:G10)/U10)</f>
        <v>0.55681818181818177</v>
      </c>
      <c r="I10" s="59">
        <v>4</v>
      </c>
      <c r="J10" s="6">
        <f>IF(I10=0,,IF(I10&gt;10,,11-(I10)))</f>
        <v>7</v>
      </c>
      <c r="K10" s="57">
        <f>6*5+5.5+6+5.5+6+5.5+5+6.5</f>
        <v>70</v>
      </c>
      <c r="L10" s="57">
        <f>5.5*2+5*3+5*3+5*3+5</f>
        <v>61</v>
      </c>
      <c r="M10" s="58">
        <f>IF(K10=0,0,AVERAGE(K10:L10)/V10)</f>
        <v>0.54583333333333328</v>
      </c>
      <c r="N10" s="59">
        <v>3</v>
      </c>
      <c r="O10" s="6">
        <f>IF(N10=0,,IF(N10&gt;10,,11-(N10)))</f>
        <v>8</v>
      </c>
      <c r="Q10" s="60">
        <f>J10+O10</f>
        <v>15</v>
      </c>
      <c r="R10" s="61">
        <v>4</v>
      </c>
      <c r="S10" s="8" t="str">
        <f>IF(OR(R10&gt;10,R10=0),"-",IF(AND(H10&gt;=0.55,M10&gt;=0.55),"Q2",IF(OR(H10&gt;=0.55,M10&gt;=0.55),"Q1","-")))</f>
        <v>Q1</v>
      </c>
      <c r="T10" s="62">
        <f>IFERROR(AVERAGE(H10,M10),0)</f>
        <v>0.55132575757575752</v>
      </c>
      <c r="U10" s="63">
        <v>110</v>
      </c>
      <c r="V10" s="63">
        <v>120</v>
      </c>
    </row>
    <row r="11" spans="2:22" ht="19" x14ac:dyDescent="0.2">
      <c r="B11" s="66"/>
      <c r="C11" s="64"/>
      <c r="D11" s="64"/>
      <c r="E11" s="64"/>
      <c r="F11" s="57"/>
      <c r="G11" s="57"/>
      <c r="H11" s="58">
        <f t="shared" ref="H11" si="0">IF(F11=0,0,AVERAGE(F11:G11)/U11)</f>
        <v>0</v>
      </c>
      <c r="I11" s="59"/>
      <c r="J11" s="6">
        <f t="shared" ref="J11" si="1">IF(I11=0,,IF(I11&gt;10,,11-(I11)))</f>
        <v>0</v>
      </c>
      <c r="K11" s="57"/>
      <c r="L11" s="57"/>
      <c r="M11" s="58">
        <f t="shared" ref="M11" si="2">IF(K11=0,0,AVERAGE(K11:L11)/V11)</f>
        <v>0</v>
      </c>
      <c r="N11" s="59"/>
      <c r="O11" s="6">
        <f t="shared" ref="O11" si="3">IF(N11=0,,IF(N11&gt;10,,11-(N11)))</f>
        <v>0</v>
      </c>
      <c r="Q11" s="60">
        <f t="shared" ref="Q11" si="4">J11+O11</f>
        <v>0</v>
      </c>
      <c r="R11" s="61"/>
      <c r="S11" s="8" t="str">
        <f t="shared" ref="S11" si="5">IF(OR(R11&gt;10,R11=0),"-",IF(AND(H11&gt;=0.55,M11&gt;=0.55),"Q2",IF(OR(H11&gt;=0.55,M11&gt;=0.55),"Q1","-")))</f>
        <v>-</v>
      </c>
      <c r="T11" s="62">
        <f t="shared" ref="T11" si="6">IFERROR(AVERAGE(H11,M11),0)</f>
        <v>0</v>
      </c>
      <c r="U11" s="63">
        <v>110</v>
      </c>
      <c r="V11" s="63">
        <v>120</v>
      </c>
    </row>
    <row r="12" spans="2:22" ht="18" x14ac:dyDescent="0.2">
      <c r="B12" s="52"/>
      <c r="C12" s="53" t="s">
        <v>43</v>
      </c>
      <c r="D12" s="54" t="s">
        <v>70</v>
      </c>
      <c r="E12" s="55"/>
      <c r="F12" s="69"/>
      <c r="G12" s="70"/>
      <c r="H12" s="70"/>
      <c r="I12" s="70"/>
      <c r="J12" s="71"/>
      <c r="K12" s="69"/>
      <c r="L12" s="70"/>
      <c r="M12" s="70"/>
      <c r="N12" s="70"/>
      <c r="O12" s="71"/>
      <c r="Q12" s="72"/>
      <c r="R12" s="73"/>
      <c r="S12" s="24"/>
      <c r="T12" s="56"/>
    </row>
    <row r="13" spans="2:22" ht="19" x14ac:dyDescent="0.2">
      <c r="B13" s="66">
        <v>105</v>
      </c>
      <c r="C13" s="87" t="s">
        <v>81</v>
      </c>
      <c r="D13" s="87" t="s">
        <v>82</v>
      </c>
      <c r="E13" s="87" t="s">
        <v>93</v>
      </c>
      <c r="F13" s="57">
        <v>66.5</v>
      </c>
      <c r="G13" s="57">
        <v>64.5</v>
      </c>
      <c r="H13" s="58">
        <f t="shared" ref="H13:H18" si="7">IF(F13=0,0,AVERAGE(F13:G13)/U13)</f>
        <v>0.59545454545454546</v>
      </c>
      <c r="I13" s="59">
        <v>4</v>
      </c>
      <c r="J13" s="6">
        <f t="shared" ref="J13:J18" si="8">IF(I13=0,,IF(I13&gt;10,,11-(I13)))</f>
        <v>7</v>
      </c>
      <c r="K13" s="57" t="s">
        <v>24</v>
      </c>
      <c r="L13" s="57"/>
      <c r="M13" s="58" t="e">
        <f t="shared" ref="M13:M18" si="9">IF(K13=0,0,AVERAGE(K13:L13)/V13)</f>
        <v>#DIV/0!</v>
      </c>
      <c r="N13" s="59"/>
      <c r="O13" s="6">
        <f t="shared" ref="O13:O18" si="10">IF(N13=0,,IF(N13&gt;10,,11-(N13)))</f>
        <v>0</v>
      </c>
      <c r="Q13" s="60">
        <f t="shared" ref="Q13:Q18" si="11">J13+O13</f>
        <v>7</v>
      </c>
      <c r="R13" s="61"/>
      <c r="S13" s="8" t="str">
        <f t="shared" ref="S13:S17" si="12">IF(OR(R13&gt;10,R13=0),"-",IF(AND(H13&gt;=0.55,M13&gt;=0.55),"Q2",IF(OR(H13&gt;=0.55,M13&gt;=0.55),"Q1","-")))</f>
        <v>-</v>
      </c>
      <c r="T13" s="62">
        <f t="shared" ref="T13:T18" si="13">IFERROR(AVERAGE(H13,M13),0)</f>
        <v>0</v>
      </c>
      <c r="U13" s="63">
        <v>110</v>
      </c>
      <c r="V13" s="63">
        <v>120</v>
      </c>
    </row>
    <row r="14" spans="2:22" ht="19" x14ac:dyDescent="0.2">
      <c r="B14" s="66">
        <v>8</v>
      </c>
      <c r="C14" s="87" t="s">
        <v>87</v>
      </c>
      <c r="D14" s="87" t="s">
        <v>88</v>
      </c>
      <c r="E14" s="87" t="s">
        <v>6</v>
      </c>
      <c r="F14" s="57">
        <v>68</v>
      </c>
      <c r="G14" s="57">
        <v>63.5</v>
      </c>
      <c r="H14" s="58">
        <f t="shared" si="7"/>
        <v>0.59772727272727277</v>
      </c>
      <c r="I14" s="59">
        <v>3</v>
      </c>
      <c r="J14" s="6">
        <f t="shared" si="8"/>
        <v>8</v>
      </c>
      <c r="K14" s="57">
        <f>7+7.5+7+7.5*2+8*3+8*3+7</f>
        <v>91.5</v>
      </c>
      <c r="L14" s="57">
        <f>6*2+5.5+6+5.5*2+6*2+5.5+6*2+5.5</f>
        <v>69.5</v>
      </c>
      <c r="M14" s="58">
        <f t="shared" si="9"/>
        <v>0.67083333333333328</v>
      </c>
      <c r="N14" s="59">
        <v>1</v>
      </c>
      <c r="O14" s="6">
        <f t="shared" si="10"/>
        <v>10</v>
      </c>
      <c r="Q14" s="60">
        <f t="shared" si="11"/>
        <v>18</v>
      </c>
      <c r="R14" s="61">
        <v>2</v>
      </c>
      <c r="S14" s="8" t="str">
        <f t="shared" si="12"/>
        <v>Q2</v>
      </c>
      <c r="T14" s="62">
        <f t="shared" si="13"/>
        <v>0.63428030303030303</v>
      </c>
      <c r="U14" s="63">
        <v>110</v>
      </c>
      <c r="V14" s="63">
        <v>120</v>
      </c>
    </row>
    <row r="15" spans="2:22" ht="19" x14ac:dyDescent="0.2">
      <c r="B15" s="66">
        <v>7</v>
      </c>
      <c r="C15" s="87" t="s">
        <v>229</v>
      </c>
      <c r="D15" s="87" t="s">
        <v>85</v>
      </c>
      <c r="E15" s="87" t="s">
        <v>86</v>
      </c>
      <c r="F15" s="57">
        <v>71</v>
      </c>
      <c r="G15" s="57">
        <v>69.5</v>
      </c>
      <c r="H15" s="58">
        <f t="shared" si="7"/>
        <v>0.63863636363636367</v>
      </c>
      <c r="I15" s="59">
        <v>1</v>
      </c>
      <c r="J15" s="6">
        <f t="shared" si="8"/>
        <v>10</v>
      </c>
      <c r="K15" s="57">
        <f>6.5+6+6.5*2+6+6.5+6+6.5+6.5*3+6.5</f>
        <v>76.5</v>
      </c>
      <c r="L15" s="57">
        <f>6*3+6.5*2+6*2+6.5+6*3+6</f>
        <v>73.5</v>
      </c>
      <c r="M15" s="58">
        <f t="shared" si="9"/>
        <v>0.625</v>
      </c>
      <c r="N15" s="59">
        <v>2</v>
      </c>
      <c r="O15" s="6">
        <f t="shared" si="10"/>
        <v>9</v>
      </c>
      <c r="Q15" s="60">
        <f t="shared" si="11"/>
        <v>19</v>
      </c>
      <c r="R15" s="61">
        <v>1</v>
      </c>
      <c r="S15" s="8" t="str">
        <f t="shared" si="12"/>
        <v>Q2</v>
      </c>
      <c r="T15" s="62">
        <f t="shared" si="13"/>
        <v>0.63181818181818183</v>
      </c>
      <c r="U15" s="63">
        <v>110</v>
      </c>
      <c r="V15" s="63">
        <v>120</v>
      </c>
    </row>
    <row r="16" spans="2:22" ht="19" x14ac:dyDescent="0.2">
      <c r="B16" s="66">
        <v>6</v>
      </c>
      <c r="C16" s="87" t="s">
        <v>83</v>
      </c>
      <c r="D16" s="87" t="s">
        <v>84</v>
      </c>
      <c r="E16" s="87" t="s">
        <v>9</v>
      </c>
      <c r="F16" s="57">
        <v>64.5</v>
      </c>
      <c r="G16" s="57">
        <v>60.5</v>
      </c>
      <c r="H16" s="58">
        <f t="shared" si="7"/>
        <v>0.56818181818181823</v>
      </c>
      <c r="I16" s="59">
        <v>5</v>
      </c>
      <c r="J16" s="6">
        <f t="shared" si="8"/>
        <v>6</v>
      </c>
      <c r="K16" s="57">
        <f>6+5.5*2+6*2+6.5+6+6.5+6*2+6.5+6.5-4</f>
        <v>69</v>
      </c>
      <c r="L16" s="57">
        <f>6*2+5.5+6+5.5*2+5*2+5*3+6.5-4</f>
        <v>62</v>
      </c>
      <c r="M16" s="58">
        <f t="shared" si="9"/>
        <v>0.54583333333333328</v>
      </c>
      <c r="N16" s="59">
        <v>3</v>
      </c>
      <c r="O16" s="6">
        <f t="shared" si="10"/>
        <v>8</v>
      </c>
      <c r="Q16" s="60">
        <f t="shared" si="11"/>
        <v>14</v>
      </c>
      <c r="R16" s="61">
        <v>4</v>
      </c>
      <c r="S16" s="8" t="str">
        <f t="shared" si="12"/>
        <v>Q1</v>
      </c>
      <c r="T16" s="62">
        <f t="shared" si="13"/>
        <v>0.55700757575757576</v>
      </c>
      <c r="U16" s="63">
        <v>110</v>
      </c>
      <c r="V16" s="63">
        <v>120</v>
      </c>
    </row>
    <row r="17" spans="2:22" ht="19" x14ac:dyDescent="0.2">
      <c r="B17" s="66">
        <v>9</v>
      </c>
      <c r="C17" s="87" t="s">
        <v>47</v>
      </c>
      <c r="D17" s="87" t="s">
        <v>89</v>
      </c>
      <c r="E17" s="87" t="s">
        <v>86</v>
      </c>
      <c r="F17" s="57">
        <v>69</v>
      </c>
      <c r="G17" s="57">
        <v>64</v>
      </c>
      <c r="H17" s="58">
        <f t="shared" si="7"/>
        <v>0.6045454545454545</v>
      </c>
      <c r="I17" s="59">
        <v>2</v>
      </c>
      <c r="J17" s="6">
        <f t="shared" si="8"/>
        <v>9</v>
      </c>
      <c r="K17" s="57">
        <f>6.5*2+6+6.5*2+5+5.5*2+6+5.5+5.5+6.5-8</f>
        <v>63.5</v>
      </c>
      <c r="L17" s="57">
        <f>6*2+5+5.5*2+5*3+5*3+5-8</f>
        <v>55</v>
      </c>
      <c r="M17" s="58">
        <f t="shared" si="9"/>
        <v>0.49375000000000002</v>
      </c>
      <c r="N17" s="59">
        <v>4</v>
      </c>
      <c r="O17" s="6">
        <f t="shared" si="10"/>
        <v>7</v>
      </c>
      <c r="Q17" s="60">
        <f t="shared" si="11"/>
        <v>16</v>
      </c>
      <c r="R17" s="61">
        <v>3</v>
      </c>
      <c r="S17" s="8" t="str">
        <f t="shared" si="12"/>
        <v>Q1</v>
      </c>
      <c r="T17" s="62">
        <f t="shared" si="13"/>
        <v>0.5491477272727272</v>
      </c>
      <c r="U17" s="63">
        <v>110</v>
      </c>
      <c r="V17" s="63">
        <v>120</v>
      </c>
    </row>
    <row r="18" spans="2:22" s="102" customFormat="1" ht="19" x14ac:dyDescent="0.2">
      <c r="B18" s="106">
        <v>10</v>
      </c>
      <c r="C18" s="98" t="s">
        <v>236</v>
      </c>
      <c r="D18" s="98" t="s">
        <v>91</v>
      </c>
      <c r="E18" s="98" t="s">
        <v>92</v>
      </c>
      <c r="F18" s="99">
        <v>55</v>
      </c>
      <c r="G18" s="99">
        <v>55.5</v>
      </c>
      <c r="H18" s="100">
        <f t="shared" si="7"/>
        <v>0.50227272727272732</v>
      </c>
      <c r="I18" s="95"/>
      <c r="J18" s="101">
        <f t="shared" si="8"/>
        <v>0</v>
      </c>
      <c r="K18" s="99">
        <f>7*4+6.5*2+6*2+0.5+6*2+6-4</f>
        <v>67.5</v>
      </c>
      <c r="L18" s="99">
        <f>6+6.5+6+5.5*2+6+5.5*2+5.5*3+6.5-4</f>
        <v>65.5</v>
      </c>
      <c r="M18" s="100">
        <f t="shared" si="9"/>
        <v>0.5541666666666667</v>
      </c>
      <c r="N18" s="95"/>
      <c r="O18" s="101">
        <f t="shared" si="10"/>
        <v>0</v>
      </c>
      <c r="Q18" s="103">
        <f t="shared" si="11"/>
        <v>0</v>
      </c>
      <c r="R18" s="96"/>
      <c r="S18" s="104" t="s">
        <v>240</v>
      </c>
      <c r="T18" s="105">
        <f t="shared" si="13"/>
        <v>0.52821969696969706</v>
      </c>
      <c r="U18" s="107">
        <v>110</v>
      </c>
      <c r="V18" s="107">
        <v>120</v>
      </c>
    </row>
    <row r="19" spans="2:22" ht="19" x14ac:dyDescent="0.2">
      <c r="B19" s="66"/>
      <c r="C19" s="64"/>
      <c r="D19" s="64"/>
      <c r="E19" s="64"/>
      <c r="F19" s="57"/>
      <c r="G19" s="57"/>
      <c r="H19" s="58">
        <f t="shared" ref="H19" si="14">IF(F19=0,0,AVERAGE(F19:G19)/U19)</f>
        <v>0</v>
      </c>
      <c r="I19" s="59"/>
      <c r="J19" s="6">
        <f t="shared" ref="J19" si="15">IF(I19=0,,IF(I19&gt;10,,11-(I19)))</f>
        <v>0</v>
      </c>
      <c r="K19" s="57"/>
      <c r="L19" s="57"/>
      <c r="M19" s="58">
        <f t="shared" ref="M19" si="16">IF(K19=0,0,AVERAGE(K19:L19)/V19)</f>
        <v>0</v>
      </c>
      <c r="N19" s="59"/>
      <c r="O19" s="6">
        <f t="shared" ref="O19" si="17">IF(N19=0,,IF(N19&gt;10,,11-(N19)))</f>
        <v>0</v>
      </c>
      <c r="Q19" s="60">
        <f t="shared" ref="Q19" si="18">J19+O19</f>
        <v>0</v>
      </c>
      <c r="R19" s="61"/>
      <c r="S19" s="8" t="str">
        <f t="shared" ref="S19" si="19">IF(OR(R19&gt;10,R19=0),"-",IF(AND(H19&gt;=0.55,M19&gt;=0.55),"Q2",IF(OR(H19&gt;=0.55,M19&gt;=0.55),"Q1","-")))</f>
        <v>-</v>
      </c>
      <c r="T19" s="62">
        <f t="shared" ref="T19" si="20">IFERROR(AVERAGE(H19,M19),0)</f>
        <v>0</v>
      </c>
      <c r="U19" s="63">
        <v>110</v>
      </c>
      <c r="V19" s="63">
        <v>120</v>
      </c>
    </row>
    <row r="20" spans="2:22" ht="18" x14ac:dyDescent="0.2">
      <c r="B20" s="52"/>
      <c r="C20" s="53" t="s">
        <v>46</v>
      </c>
      <c r="D20" s="54" t="s">
        <v>71</v>
      </c>
      <c r="E20" s="55"/>
      <c r="F20" s="69"/>
      <c r="G20" s="70"/>
      <c r="H20" s="70"/>
      <c r="I20" s="70"/>
      <c r="J20" s="71"/>
      <c r="K20" s="69"/>
      <c r="L20" s="70"/>
      <c r="M20" s="70"/>
      <c r="N20" s="70"/>
      <c r="O20" s="71"/>
      <c r="Q20" s="72"/>
      <c r="R20" s="73"/>
      <c r="S20" s="24"/>
      <c r="T20" s="56"/>
    </row>
    <row r="21" spans="2:22" ht="19" x14ac:dyDescent="0.2">
      <c r="B21" s="66">
        <v>12</v>
      </c>
      <c r="C21" s="87" t="s">
        <v>95</v>
      </c>
      <c r="D21" s="87" t="s">
        <v>96</v>
      </c>
      <c r="E21" s="87" t="s">
        <v>86</v>
      </c>
      <c r="F21" s="57">
        <v>69</v>
      </c>
      <c r="G21" s="57">
        <v>70</v>
      </c>
      <c r="H21" s="58">
        <f>IF(F21=0,0,AVERAGE(F21:G21)/U21)</f>
        <v>0.63181818181818183</v>
      </c>
      <c r="I21" s="59">
        <v>1</v>
      </c>
      <c r="J21" s="6">
        <f>IF(I21=0,,IF(I21&gt;10,,11-(I21)))</f>
        <v>10</v>
      </c>
      <c r="K21" s="57">
        <v>87</v>
      </c>
      <c r="L21" s="57">
        <v>83.5</v>
      </c>
      <c r="M21" s="58">
        <f>IF(K21=0,0,AVERAGE(K21:L21)/V21)</f>
        <v>0.7104166666666667</v>
      </c>
      <c r="N21" s="59">
        <v>1</v>
      </c>
      <c r="O21" s="6">
        <f>IF(N21=0,,IF(N21&gt;10,,11-(N21)))</f>
        <v>10</v>
      </c>
      <c r="Q21" s="60">
        <f>J21+O21</f>
        <v>20</v>
      </c>
      <c r="R21" s="61">
        <v>1</v>
      </c>
      <c r="S21" s="8" t="str">
        <f>IF(OR(R21&gt;10,R21=0),"-",IF(AND(H21&gt;=0.55,M21&gt;=0.55),"Q2",IF(OR(H21&gt;=0.55,M21&gt;=0.55),"Q1","-")))</f>
        <v>Q2</v>
      </c>
      <c r="T21" s="62">
        <f>IFERROR(AVERAGE(H21,M21),0)</f>
        <v>0.67111742424242427</v>
      </c>
      <c r="U21" s="63">
        <v>110</v>
      </c>
      <c r="V21" s="63">
        <v>120</v>
      </c>
    </row>
    <row r="22" spans="2:22" ht="19" x14ac:dyDescent="0.2">
      <c r="B22" s="66">
        <v>114</v>
      </c>
      <c r="C22" s="87" t="s">
        <v>97</v>
      </c>
      <c r="D22" s="87" t="s">
        <v>98</v>
      </c>
      <c r="E22" s="87" t="s">
        <v>92</v>
      </c>
      <c r="F22" s="57">
        <v>64.5</v>
      </c>
      <c r="G22" s="57">
        <f>7*5+6.5+6+6.5+6+7+7.5</f>
        <v>74.5</v>
      </c>
      <c r="H22" s="58">
        <f>IF(F22=0,0,AVERAGE(F22:G22)/U22)</f>
        <v>0.63181818181818183</v>
      </c>
      <c r="I22" s="59">
        <v>1</v>
      </c>
      <c r="J22" s="6">
        <f>IF(I22=0,,IF(I22&gt;10,,11-(I22)))</f>
        <v>10</v>
      </c>
      <c r="K22" s="57">
        <v>72</v>
      </c>
      <c r="L22" s="57">
        <v>70.5</v>
      </c>
      <c r="M22" s="58">
        <f>IF(K22=0,0,AVERAGE(K22:L22)/V22)</f>
        <v>0.59375</v>
      </c>
      <c r="N22" s="59">
        <v>3</v>
      </c>
      <c r="O22" s="6">
        <f>IF(N22=0,,IF(N22&gt;10,,11-(N22)))</f>
        <v>8</v>
      </c>
      <c r="Q22" s="60">
        <f>J22+O22</f>
        <v>18</v>
      </c>
      <c r="R22" s="61">
        <v>2</v>
      </c>
      <c r="S22" s="8" t="str">
        <f>IF(OR(R22&gt;10,R22=0),"-",IF(AND(H22&gt;=0.55,M22&gt;=0.55),"Q2",IF(OR(H22&gt;=0.55,M22&gt;=0.55),"Q1","-")))</f>
        <v>Q2</v>
      </c>
      <c r="T22" s="62">
        <f>IFERROR(AVERAGE(H22,M22),0)</f>
        <v>0.61278409090909092</v>
      </c>
      <c r="U22" s="63">
        <v>110</v>
      </c>
      <c r="V22" s="63">
        <v>120</v>
      </c>
    </row>
    <row r="23" spans="2:22" ht="19" x14ac:dyDescent="0.2">
      <c r="B23" s="66">
        <v>11</v>
      </c>
      <c r="C23" s="87" t="s">
        <v>48</v>
      </c>
      <c r="D23" s="87" t="s">
        <v>94</v>
      </c>
      <c r="E23" s="87" t="s">
        <v>7</v>
      </c>
      <c r="F23" s="57">
        <v>67.5</v>
      </c>
      <c r="G23" s="57">
        <f>6+6.5*2+6*2+6.5*2+7+6.5*3</f>
        <v>70.5</v>
      </c>
      <c r="H23" s="58">
        <f>IF(F23=0,0,AVERAGE(F23:G23)/U23)</f>
        <v>0.62727272727272732</v>
      </c>
      <c r="I23" s="59">
        <v>3</v>
      </c>
      <c r="J23" s="6">
        <f>IF(I23=0,,IF(I23&gt;10,,11-(I23)))</f>
        <v>8</v>
      </c>
      <c r="K23" s="57">
        <v>72.5</v>
      </c>
      <c r="L23" s="57">
        <v>67.5</v>
      </c>
      <c r="M23" s="58">
        <f>IF(K23=0,0,AVERAGE(K23:L23)/V23)</f>
        <v>0.58333333333333337</v>
      </c>
      <c r="N23" s="59">
        <v>4</v>
      </c>
      <c r="O23" s="6">
        <f>IF(N23=0,,IF(N23&gt;10,,11-(N23)))</f>
        <v>7</v>
      </c>
      <c r="Q23" s="60">
        <f>J23+O23</f>
        <v>15</v>
      </c>
      <c r="R23" s="61">
        <v>4</v>
      </c>
      <c r="S23" s="8" t="str">
        <f>IF(OR(R23&gt;10,R23=0),"-",IF(AND(H23&gt;=0.55,M23&gt;=0.55),"Q2",IF(OR(H23&gt;=0.55,M23&gt;=0.55),"Q1","-")))</f>
        <v>Q2</v>
      </c>
      <c r="T23" s="62">
        <f>IFERROR(AVERAGE(H23,M23),0)</f>
        <v>0.60530303030303034</v>
      </c>
      <c r="U23" s="63">
        <v>110</v>
      </c>
      <c r="V23" s="63">
        <v>120</v>
      </c>
    </row>
    <row r="24" spans="2:22" ht="19" x14ac:dyDescent="0.2">
      <c r="B24" s="66">
        <v>16</v>
      </c>
      <c r="C24" s="87" t="s">
        <v>48</v>
      </c>
      <c r="D24" s="87" t="s">
        <v>101</v>
      </c>
      <c r="E24" s="87" t="s">
        <v>7</v>
      </c>
      <c r="F24" s="57">
        <v>62.5</v>
      </c>
      <c r="G24" s="57">
        <f>7*2+6.5+7*2+6.5+6+6.5+6+6.5+7</f>
        <v>73</v>
      </c>
      <c r="H24" s="58">
        <f>IF(F24=0,0,AVERAGE(F24:G24)/U24)</f>
        <v>0.61590909090909096</v>
      </c>
      <c r="I24" s="59">
        <v>4</v>
      </c>
      <c r="J24" s="6">
        <f>IF(I24=0,,IF(I24&gt;10,,11-(I24)))</f>
        <v>7</v>
      </c>
      <c r="K24" s="57">
        <v>81</v>
      </c>
      <c r="L24" s="57">
        <v>69</v>
      </c>
      <c r="M24" s="58">
        <f>IF(K24=0,0,AVERAGE(K24:L24)/V24)</f>
        <v>0.625</v>
      </c>
      <c r="N24" s="59">
        <v>2</v>
      </c>
      <c r="O24" s="6">
        <f>IF(N24=0,,IF(N24&gt;10,,11-(N24)))</f>
        <v>9</v>
      </c>
      <c r="Q24" s="60">
        <f>J24+O24</f>
        <v>16</v>
      </c>
      <c r="R24" s="61">
        <v>3</v>
      </c>
      <c r="S24" s="8" t="str">
        <f>IF(OR(R24&gt;10,R24=0),"-",IF(AND(H24&gt;=0.55,M24&gt;=0.55),"Q2",IF(OR(H24&gt;=0.55,M24&gt;=0.55),"Q1","-")))</f>
        <v>Q2</v>
      </c>
      <c r="T24" s="62">
        <f>IFERROR(AVERAGE(H24,M24),0)</f>
        <v>0.62045454545454548</v>
      </c>
      <c r="U24" s="63">
        <v>110</v>
      </c>
      <c r="V24" s="63">
        <v>120</v>
      </c>
    </row>
    <row r="25" spans="2:22" ht="19" x14ac:dyDescent="0.2">
      <c r="B25" s="66">
        <v>15</v>
      </c>
      <c r="C25" s="87" t="s">
        <v>99</v>
      </c>
      <c r="D25" s="87" t="s">
        <v>100</v>
      </c>
      <c r="E25" s="87" t="s">
        <v>102</v>
      </c>
      <c r="F25" s="57">
        <v>63</v>
      </c>
      <c r="G25" s="57">
        <v>60</v>
      </c>
      <c r="H25" s="58">
        <f>IF(F25=0,0,AVERAGE(F25:G25)/U25)</f>
        <v>0.55909090909090908</v>
      </c>
      <c r="I25" s="59">
        <v>5</v>
      </c>
      <c r="J25" s="6">
        <f>IF(I25=0,,IF(I25&gt;10,,11-(I25)))</f>
        <v>6</v>
      </c>
      <c r="K25" s="57">
        <v>58.5</v>
      </c>
      <c r="L25" s="57">
        <v>53</v>
      </c>
      <c r="M25" s="58">
        <f>IF(K25=0,0,AVERAGE(K25:L25)/V25)</f>
        <v>0.46458333333333335</v>
      </c>
      <c r="N25" s="59">
        <v>5</v>
      </c>
      <c r="O25" s="6">
        <f>IF(N25=0,,IF(N25&gt;10,,11-(N25)))</f>
        <v>6</v>
      </c>
      <c r="Q25" s="60">
        <f>J25+O25</f>
        <v>12</v>
      </c>
      <c r="R25" s="61">
        <v>5</v>
      </c>
      <c r="S25" s="8" t="str">
        <f>IF(OR(R25&gt;10,R25=0),"-",IF(AND(H25&gt;=0.55,M25&gt;=0.55),"Q2",IF(OR(H25&gt;=0.55,M25&gt;=0.55),"Q1","-")))</f>
        <v>Q1</v>
      </c>
      <c r="T25" s="62">
        <f>IFERROR(AVERAGE(H25,M25),0)</f>
        <v>0.51183712121212122</v>
      </c>
      <c r="U25" s="63">
        <v>110</v>
      </c>
      <c r="V25" s="63">
        <v>120</v>
      </c>
    </row>
    <row r="26" spans="2:22" ht="19" x14ac:dyDescent="0.2">
      <c r="B26" s="66"/>
      <c r="C26" s="87"/>
      <c r="D26" s="87"/>
      <c r="E26" s="87"/>
      <c r="F26" s="57"/>
      <c r="G26" s="57"/>
      <c r="H26" s="58">
        <f t="shared" ref="H26" si="21">IF(F26=0,0,AVERAGE(F26:G26)/U26)</f>
        <v>0</v>
      </c>
      <c r="I26" s="59"/>
      <c r="J26" s="6">
        <f t="shared" ref="J26" si="22">IF(I26=0,,IF(I26&gt;10,,11-(I26)))</f>
        <v>0</v>
      </c>
      <c r="K26" s="57"/>
      <c r="L26" s="57"/>
      <c r="M26" s="58">
        <f t="shared" ref="M26" si="23">IF(K26=0,0,AVERAGE(K26:L26)/V26)</f>
        <v>0</v>
      </c>
      <c r="N26" s="59"/>
      <c r="O26" s="6">
        <f t="shared" ref="O26" si="24">IF(N26=0,,IF(N26&gt;10,,11-(N26)))</f>
        <v>0</v>
      </c>
      <c r="Q26" s="60">
        <f t="shared" ref="Q26" si="25">J26+O26</f>
        <v>0</v>
      </c>
      <c r="R26" s="61"/>
      <c r="S26" s="8" t="str">
        <f t="shared" ref="S26" si="26">IF(OR(R26&gt;10,R26=0),"-",IF(AND(H26&gt;=0.55,M26&gt;=0.55),"Q2",IF(OR(H26&gt;=0.55,M26&gt;=0.55),"Q1","-")))</f>
        <v>-</v>
      </c>
      <c r="T26" s="62">
        <f t="shared" ref="T26" si="27">IFERROR(AVERAGE(H26,M26),0)</f>
        <v>0</v>
      </c>
      <c r="U26" s="63">
        <v>110</v>
      </c>
      <c r="V26" s="63">
        <v>120</v>
      </c>
    </row>
    <row r="27" spans="2:22" ht="18" x14ac:dyDescent="0.2">
      <c r="B27" s="52"/>
      <c r="C27" s="53" t="s">
        <v>72</v>
      </c>
      <c r="D27" s="54" t="s">
        <v>73</v>
      </c>
      <c r="E27" s="55"/>
      <c r="F27" s="69"/>
      <c r="G27" s="70"/>
      <c r="H27" s="69" t="s">
        <v>45</v>
      </c>
      <c r="I27" s="70"/>
      <c r="J27" s="71"/>
      <c r="K27" s="69"/>
      <c r="L27" s="70"/>
      <c r="M27" s="70"/>
      <c r="N27" s="70"/>
      <c r="O27" s="71"/>
      <c r="Q27" s="72"/>
      <c r="R27" s="73"/>
      <c r="S27" s="24"/>
      <c r="T27" s="56"/>
    </row>
    <row r="28" spans="2:22" ht="19" x14ac:dyDescent="0.2">
      <c r="B28" s="66">
        <v>17</v>
      </c>
      <c r="C28" s="87" t="s">
        <v>103</v>
      </c>
      <c r="D28" s="87" t="s">
        <v>104</v>
      </c>
      <c r="E28" s="87" t="s">
        <v>8</v>
      </c>
      <c r="F28" s="57">
        <v>77</v>
      </c>
      <c r="G28" s="57">
        <f>8*6+7.5+8+7.5+8*2</f>
        <v>87</v>
      </c>
      <c r="H28" s="58">
        <f t="shared" ref="H28:H33" si="28">IF(F28=0,0,AVERAGE(F28:G28)/U28)</f>
        <v>0.74545454545454548</v>
      </c>
      <c r="I28" s="59">
        <v>1</v>
      </c>
      <c r="J28" s="6">
        <v>10</v>
      </c>
      <c r="K28" s="57">
        <v>84</v>
      </c>
      <c r="L28" s="57">
        <v>68.5</v>
      </c>
      <c r="M28" s="58">
        <f t="shared" ref="M28:M33" si="29">IF(K28=0,0,AVERAGE(K28:L28)/V28)</f>
        <v>0.63541666666666663</v>
      </c>
      <c r="N28" s="59">
        <v>1</v>
      </c>
      <c r="O28" s="6">
        <f t="shared" ref="O28:O33" si="30">IF(N28=0,,IF(N28&gt;10,,11-(N28)))</f>
        <v>10</v>
      </c>
      <c r="Q28" s="60">
        <f t="shared" ref="Q28:Q33" si="31">J28+O28</f>
        <v>20</v>
      </c>
      <c r="R28" s="61">
        <v>1</v>
      </c>
      <c r="S28" s="8" t="str">
        <f t="shared" ref="S28:S33" si="32">IF(OR(R28&gt;10,R28=0),"-",IF(AND(H28&gt;=0.55,M28&gt;=0.55),"Q2",IF(OR(H28&gt;=0.55,M28&gt;=0.55),"Q1","-")))</f>
        <v>Q2</v>
      </c>
      <c r="T28" s="62">
        <f t="shared" ref="T28:T33" si="33">IFERROR(AVERAGE(H28,M28),0)</f>
        <v>0.69043560606060606</v>
      </c>
      <c r="U28" s="63">
        <v>110</v>
      </c>
      <c r="V28" s="63">
        <v>120</v>
      </c>
    </row>
    <row r="29" spans="2:22" ht="19" x14ac:dyDescent="0.2">
      <c r="B29" s="66">
        <v>20</v>
      </c>
      <c r="C29" s="87" t="s">
        <v>225</v>
      </c>
      <c r="D29" s="87" t="s">
        <v>108</v>
      </c>
      <c r="E29" s="87" t="s">
        <v>67</v>
      </c>
      <c r="F29" s="57">
        <v>71</v>
      </c>
      <c r="G29" s="57">
        <f>7*2+6.5+7*3+6*2+5.5+6*2-4</f>
        <v>67</v>
      </c>
      <c r="H29" s="58">
        <f t="shared" si="28"/>
        <v>0.62727272727272732</v>
      </c>
      <c r="I29" s="59">
        <v>3</v>
      </c>
      <c r="J29" s="6">
        <v>8</v>
      </c>
      <c r="K29" s="57">
        <v>80.5</v>
      </c>
      <c r="L29" s="57">
        <f>6.5+7+6+6.5*2+5.5+6*2+6*3+7-4</f>
        <v>71</v>
      </c>
      <c r="M29" s="58">
        <f t="shared" si="29"/>
        <v>0.63124999999999998</v>
      </c>
      <c r="N29" s="59">
        <v>2</v>
      </c>
      <c r="O29" s="6">
        <f t="shared" si="30"/>
        <v>9</v>
      </c>
      <c r="Q29" s="60">
        <f t="shared" si="31"/>
        <v>17</v>
      </c>
      <c r="R29" s="61">
        <v>2</v>
      </c>
      <c r="S29" s="8" t="str">
        <f t="shared" si="32"/>
        <v>Q2</v>
      </c>
      <c r="T29" s="62">
        <f t="shared" si="33"/>
        <v>0.62926136363636365</v>
      </c>
      <c r="U29" s="63">
        <v>110</v>
      </c>
      <c r="V29" s="63">
        <v>120</v>
      </c>
    </row>
    <row r="30" spans="2:22" ht="19" x14ac:dyDescent="0.2">
      <c r="B30" s="66">
        <v>122</v>
      </c>
      <c r="C30" s="87" t="s">
        <v>111</v>
      </c>
      <c r="D30" s="87" t="s">
        <v>112</v>
      </c>
      <c r="E30" s="87" t="s">
        <v>67</v>
      </c>
      <c r="F30" s="57">
        <f>6*3+6.5*5+5+5.5+6</f>
        <v>67</v>
      </c>
      <c r="G30" s="57">
        <f>6.5*6+6*2+6.5+6*2</f>
        <v>69.5</v>
      </c>
      <c r="H30" s="58">
        <f t="shared" si="28"/>
        <v>0.62045454545454548</v>
      </c>
      <c r="I30" s="59">
        <v>4</v>
      </c>
      <c r="J30" s="6">
        <v>7</v>
      </c>
      <c r="K30" s="57">
        <v>81</v>
      </c>
      <c r="L30" s="57">
        <v>66.5</v>
      </c>
      <c r="M30" s="58">
        <f t="shared" si="29"/>
        <v>0.61458333333333337</v>
      </c>
      <c r="N30" s="59">
        <v>3</v>
      </c>
      <c r="O30" s="6">
        <f t="shared" si="30"/>
        <v>8</v>
      </c>
      <c r="Q30" s="60">
        <f t="shared" si="31"/>
        <v>15</v>
      </c>
      <c r="R30" s="61">
        <v>3</v>
      </c>
      <c r="S30" s="8" t="str">
        <f t="shared" si="32"/>
        <v>Q2</v>
      </c>
      <c r="T30" s="62">
        <f t="shared" si="33"/>
        <v>0.61751893939393943</v>
      </c>
      <c r="U30" s="63">
        <v>110</v>
      </c>
      <c r="V30" s="63">
        <v>120</v>
      </c>
    </row>
    <row r="31" spans="2:22" ht="19" x14ac:dyDescent="0.2">
      <c r="B31" s="66">
        <v>21</v>
      </c>
      <c r="C31" s="87" t="s">
        <v>109</v>
      </c>
      <c r="D31" s="87" t="s">
        <v>110</v>
      </c>
      <c r="E31" s="87" t="s">
        <v>9</v>
      </c>
      <c r="F31" s="57">
        <v>61</v>
      </c>
      <c r="G31" s="57">
        <f>6.5+7*2+6.5+7*2+6.5*2+5.5+6*2-4</f>
        <v>67.5</v>
      </c>
      <c r="H31" s="58">
        <f t="shared" si="28"/>
        <v>0.58409090909090911</v>
      </c>
      <c r="I31" s="59">
        <v>6</v>
      </c>
      <c r="J31" s="6">
        <v>5</v>
      </c>
      <c r="K31" s="57">
        <v>76</v>
      </c>
      <c r="L31" s="57">
        <v>65</v>
      </c>
      <c r="M31" s="58">
        <f t="shared" si="29"/>
        <v>0.58750000000000002</v>
      </c>
      <c r="N31" s="59">
        <v>4</v>
      </c>
      <c r="O31" s="6">
        <f t="shared" si="30"/>
        <v>7</v>
      </c>
      <c r="Q31" s="60">
        <f t="shared" si="31"/>
        <v>12</v>
      </c>
      <c r="R31" s="61">
        <v>5</v>
      </c>
      <c r="S31" s="8" t="s">
        <v>241</v>
      </c>
      <c r="T31" s="62">
        <f t="shared" si="33"/>
        <v>0.58579545454545456</v>
      </c>
      <c r="U31" s="63">
        <v>110</v>
      </c>
      <c r="V31" s="63">
        <v>120</v>
      </c>
    </row>
    <row r="32" spans="2:22" ht="19" x14ac:dyDescent="0.2">
      <c r="B32" s="66">
        <v>80</v>
      </c>
      <c r="C32" s="87" t="s">
        <v>226</v>
      </c>
      <c r="D32" s="87" t="s">
        <v>106</v>
      </c>
      <c r="E32" s="87" t="s">
        <v>107</v>
      </c>
      <c r="F32" s="57">
        <v>62.5</v>
      </c>
      <c r="G32" s="57">
        <f>7+6.5*4+6*3+6*3</f>
        <v>69</v>
      </c>
      <c r="H32" s="58">
        <f t="shared" si="28"/>
        <v>0.59772727272727277</v>
      </c>
      <c r="I32" s="59">
        <v>5</v>
      </c>
      <c r="J32" s="6">
        <v>6</v>
      </c>
      <c r="K32" s="57">
        <v>71.5</v>
      </c>
      <c r="L32" s="57">
        <v>65.5</v>
      </c>
      <c r="M32" s="58">
        <f t="shared" si="29"/>
        <v>0.5708333333333333</v>
      </c>
      <c r="N32" s="59">
        <v>5</v>
      </c>
      <c r="O32" s="6">
        <f t="shared" si="30"/>
        <v>6</v>
      </c>
      <c r="Q32" s="60">
        <f t="shared" si="31"/>
        <v>12</v>
      </c>
      <c r="R32" s="61">
        <v>5</v>
      </c>
      <c r="S32" s="8" t="s">
        <v>241</v>
      </c>
      <c r="T32" s="62">
        <f t="shared" si="33"/>
        <v>0.58428030303030298</v>
      </c>
      <c r="U32" s="63">
        <v>110</v>
      </c>
      <c r="V32" s="63">
        <v>120</v>
      </c>
    </row>
    <row r="33" spans="2:22" ht="19" x14ac:dyDescent="0.2">
      <c r="B33" s="66">
        <v>18</v>
      </c>
      <c r="C33" s="87" t="s">
        <v>224</v>
      </c>
      <c r="D33" s="87" t="s">
        <v>105</v>
      </c>
      <c r="E33" s="87" t="s">
        <v>8</v>
      </c>
      <c r="F33" s="57">
        <v>72.5</v>
      </c>
      <c r="G33" s="57">
        <f>7*6+6+7+6+5.5+6</f>
        <v>72.5</v>
      </c>
      <c r="H33" s="58">
        <f t="shared" si="28"/>
        <v>0.65909090909090906</v>
      </c>
      <c r="I33" s="59">
        <v>2</v>
      </c>
      <c r="J33" s="6">
        <v>9</v>
      </c>
      <c r="K33" s="57">
        <v>69</v>
      </c>
      <c r="L33" s="57">
        <v>58.5</v>
      </c>
      <c r="M33" s="58">
        <f t="shared" si="29"/>
        <v>0.53125</v>
      </c>
      <c r="N33" s="59">
        <v>6</v>
      </c>
      <c r="O33" s="6">
        <f t="shared" si="30"/>
        <v>5</v>
      </c>
      <c r="Q33" s="60">
        <f t="shared" si="31"/>
        <v>14</v>
      </c>
      <c r="R33" s="61">
        <v>4</v>
      </c>
      <c r="S33" s="8" t="str">
        <f t="shared" si="32"/>
        <v>Q1</v>
      </c>
      <c r="T33" s="62">
        <f t="shared" si="33"/>
        <v>0.59517045454545459</v>
      </c>
      <c r="U33" s="63">
        <v>110</v>
      </c>
      <c r="V33" s="63">
        <v>120</v>
      </c>
    </row>
    <row r="34" spans="2:22" ht="19.5" customHeight="1" x14ac:dyDescent="0.2">
      <c r="B34" s="66"/>
      <c r="C34" s="89"/>
      <c r="D34" s="89"/>
      <c r="E34" s="87"/>
      <c r="F34" s="57"/>
      <c r="G34" s="57"/>
      <c r="H34" s="58">
        <f t="shared" ref="H34" si="34">IF(F34=0,0,AVERAGE(F34:G34)/U34)</f>
        <v>0</v>
      </c>
      <c r="I34" s="59"/>
      <c r="J34" s="6"/>
      <c r="K34" s="57"/>
      <c r="L34" s="57"/>
      <c r="M34" s="58">
        <f t="shared" ref="M34" si="35">IF(K34=0,0,AVERAGE(K34:L34)/V34)</f>
        <v>0</v>
      </c>
      <c r="N34" s="59"/>
      <c r="O34" s="6">
        <f t="shared" ref="O34" si="36">IF(N34=0,,IF(N34&gt;10,,11-(N34)))</f>
        <v>0</v>
      </c>
      <c r="Q34" s="60">
        <f t="shared" ref="Q34" si="37">J34+O34</f>
        <v>0</v>
      </c>
      <c r="R34" s="61"/>
      <c r="S34" s="8" t="str">
        <f t="shared" ref="S34" si="38">IF(OR(R34&gt;10,R34=0),"-",IF(AND(H34&gt;=0.55,M34&gt;=0.55),"Q2",IF(OR(H34&gt;=0.55,M34&gt;=0.55),"Q1","-")))</f>
        <v>-</v>
      </c>
      <c r="T34" s="62">
        <f t="shared" ref="T34" si="39">IFERROR(AVERAGE(H34,M34),0)</f>
        <v>0</v>
      </c>
      <c r="U34" s="63">
        <v>110</v>
      </c>
      <c r="V34" s="63">
        <v>120</v>
      </c>
    </row>
    <row r="35" spans="2:22" ht="19.5" customHeight="1" x14ac:dyDescent="0.2">
      <c r="B35" s="66"/>
      <c r="C35" s="89"/>
      <c r="D35" s="89"/>
      <c r="E35" s="87"/>
      <c r="F35" s="57"/>
      <c r="G35" s="57"/>
      <c r="H35" s="58">
        <f t="shared" ref="H35" si="40">IF(F35=0,0,AVERAGE(F35:G35)/U35)</f>
        <v>0</v>
      </c>
      <c r="I35" s="59"/>
      <c r="J35" s="6"/>
      <c r="K35" s="57"/>
      <c r="L35" s="57"/>
      <c r="M35" s="58">
        <f t="shared" ref="M35" si="41">IF(K35=0,0,AVERAGE(K35:L35)/V35)</f>
        <v>0</v>
      </c>
      <c r="N35" s="59"/>
      <c r="O35" s="6">
        <f t="shared" ref="O35" si="42">IF(N35=0,,IF(N35&gt;10,,11-(N35)))</f>
        <v>0</v>
      </c>
      <c r="Q35" s="60">
        <f t="shared" ref="Q35" si="43">J35+O35</f>
        <v>0</v>
      </c>
      <c r="R35" s="61"/>
      <c r="S35" s="8" t="str">
        <f t="shared" ref="S35" si="44">IF(OR(R35&gt;10,R35=0),"-",IF(AND(H35&gt;=0.55,M35&gt;=0.55),"Q2",IF(OR(H35&gt;=0.55,M35&gt;=0.55),"Q1","-")))</f>
        <v>-</v>
      </c>
      <c r="T35" s="62">
        <f t="shared" ref="T35" si="45">IFERROR(AVERAGE(H35,M35),0)</f>
        <v>0</v>
      </c>
      <c r="U35" s="63">
        <v>110</v>
      </c>
      <c r="V35" s="63">
        <v>120</v>
      </c>
    </row>
    <row r="36" spans="2:22" ht="18" x14ac:dyDescent="0.2">
      <c r="B36" s="52"/>
      <c r="C36" s="53" t="s">
        <v>74</v>
      </c>
      <c r="D36" s="54" t="s">
        <v>75</v>
      </c>
      <c r="E36" s="55"/>
      <c r="F36" s="229"/>
      <c r="G36" s="230"/>
      <c r="H36" s="230"/>
      <c r="I36" s="230"/>
      <c r="J36" s="231"/>
      <c r="K36" s="229"/>
      <c r="L36" s="230"/>
      <c r="M36" s="230"/>
      <c r="N36" s="230"/>
      <c r="O36" s="231"/>
      <c r="Q36" s="232"/>
      <c r="R36" s="233"/>
      <c r="S36" s="24"/>
      <c r="T36" s="56"/>
    </row>
    <row r="37" spans="2:22" ht="19" x14ac:dyDescent="0.2">
      <c r="B37" s="82">
        <v>26</v>
      </c>
      <c r="C37" s="87" t="s">
        <v>121</v>
      </c>
      <c r="D37" s="87" t="s">
        <v>122</v>
      </c>
      <c r="E37" s="87" t="s">
        <v>92</v>
      </c>
      <c r="F37" s="57">
        <v>73.5</v>
      </c>
      <c r="G37" s="57">
        <f>7+7.5+7*4+6.5*2+6+6.5*2</f>
        <v>74.5</v>
      </c>
      <c r="H37" s="58">
        <f t="shared" ref="H37:H43" si="46">IF(F37=0,0,AVERAGE(F37:G37)/U37)</f>
        <v>0.67272727272727273</v>
      </c>
      <c r="I37" s="59">
        <v>2</v>
      </c>
      <c r="J37" s="6">
        <v>9</v>
      </c>
      <c r="K37" s="57">
        <v>87</v>
      </c>
      <c r="L37" s="57">
        <v>93</v>
      </c>
      <c r="M37" s="58">
        <f t="shared" ref="M37:M43" si="47">IF(K37=0,0,AVERAGE(K37:L37)/V37)</f>
        <v>0.75</v>
      </c>
      <c r="N37" s="59">
        <v>1</v>
      </c>
      <c r="O37" s="6">
        <f t="shared" ref="O37:O43" si="48">IF(N37=0,,IF(N37&gt;10,,11-(N37)))</f>
        <v>10</v>
      </c>
      <c r="Q37" s="60">
        <f t="shared" ref="Q37:Q43" si="49">J37+O37</f>
        <v>19</v>
      </c>
      <c r="R37" s="61">
        <v>1</v>
      </c>
      <c r="S37" s="8" t="s">
        <v>241</v>
      </c>
      <c r="T37" s="62">
        <f t="shared" ref="T37:T43" si="50">IFERROR(AVERAGE(H37,M37),0)</f>
        <v>0.71136363636363642</v>
      </c>
      <c r="U37" s="63">
        <v>110</v>
      </c>
      <c r="V37" s="63">
        <v>120</v>
      </c>
    </row>
    <row r="38" spans="2:22" ht="19" x14ac:dyDescent="0.2">
      <c r="B38" s="82">
        <v>124</v>
      </c>
      <c r="C38" s="87" t="s">
        <v>118</v>
      </c>
      <c r="D38" s="87" t="s">
        <v>119</v>
      </c>
      <c r="E38" s="87" t="s">
        <v>8</v>
      </c>
      <c r="F38" s="57">
        <v>67.5</v>
      </c>
      <c r="G38" s="57">
        <f>5.5+6.5*2+6*2+6.5+6*3+6.5+6</f>
        <v>67.5</v>
      </c>
      <c r="H38" s="58">
        <f t="shared" si="46"/>
        <v>0.61363636363636365</v>
      </c>
      <c r="I38" s="59">
        <v>4</v>
      </c>
      <c r="J38" s="6">
        <v>7</v>
      </c>
      <c r="K38" s="57">
        <v>82</v>
      </c>
      <c r="L38" s="57">
        <v>84</v>
      </c>
      <c r="M38" s="58">
        <f t="shared" si="47"/>
        <v>0.69166666666666665</v>
      </c>
      <c r="N38" s="59">
        <v>2</v>
      </c>
      <c r="O38" s="6">
        <f t="shared" si="48"/>
        <v>9</v>
      </c>
      <c r="Q38" s="60">
        <f t="shared" si="49"/>
        <v>16</v>
      </c>
      <c r="R38" s="61">
        <v>3</v>
      </c>
      <c r="S38" s="8" t="s">
        <v>241</v>
      </c>
      <c r="T38" s="62">
        <f t="shared" si="50"/>
        <v>0.65265151515151509</v>
      </c>
      <c r="U38" s="63">
        <v>110</v>
      </c>
      <c r="V38" s="63">
        <v>120</v>
      </c>
    </row>
    <row r="39" spans="2:22" ht="19" x14ac:dyDescent="0.2">
      <c r="B39" s="82">
        <v>29</v>
      </c>
      <c r="C39" s="87" t="s">
        <v>50</v>
      </c>
      <c r="D39" s="87" t="s">
        <v>126</v>
      </c>
      <c r="E39" s="87" t="s">
        <v>92</v>
      </c>
      <c r="F39" s="57">
        <v>64</v>
      </c>
      <c r="G39" s="57">
        <f>7.5*5+6.5+6*2+6*3-12</f>
        <v>62</v>
      </c>
      <c r="H39" s="58">
        <f t="shared" si="46"/>
        <v>0.57272727272727275</v>
      </c>
      <c r="I39" s="59">
        <v>6</v>
      </c>
      <c r="J39" s="6">
        <v>5</v>
      </c>
      <c r="K39" s="57">
        <v>79</v>
      </c>
      <c r="L39" s="57">
        <v>77</v>
      </c>
      <c r="M39" s="58">
        <f t="shared" si="47"/>
        <v>0.65</v>
      </c>
      <c r="N39" s="59">
        <v>3</v>
      </c>
      <c r="O39" s="6">
        <f t="shared" si="48"/>
        <v>8</v>
      </c>
      <c r="Q39" s="60">
        <f t="shared" si="49"/>
        <v>13</v>
      </c>
      <c r="R39" s="61">
        <v>4</v>
      </c>
      <c r="S39" s="8" t="s">
        <v>241</v>
      </c>
      <c r="T39" s="62">
        <f t="shared" si="50"/>
        <v>0.61136363636363633</v>
      </c>
      <c r="U39" s="63">
        <v>110</v>
      </c>
      <c r="V39" s="63">
        <v>120</v>
      </c>
    </row>
    <row r="40" spans="2:22" ht="19" x14ac:dyDescent="0.2">
      <c r="B40" s="82">
        <v>25</v>
      </c>
      <c r="C40" s="87" t="s">
        <v>230</v>
      </c>
      <c r="D40" s="87" t="s">
        <v>120</v>
      </c>
      <c r="E40" s="87" t="s">
        <v>92</v>
      </c>
      <c r="F40" s="57">
        <v>74.5</v>
      </c>
      <c r="G40" s="57">
        <f>7.5+7+7.5+7*5+6+6.5*2</f>
        <v>76</v>
      </c>
      <c r="H40" s="58">
        <f t="shared" si="46"/>
        <v>0.68409090909090908</v>
      </c>
      <c r="I40" s="59">
        <v>1</v>
      </c>
      <c r="J40" s="6">
        <v>10</v>
      </c>
      <c r="K40" s="57">
        <v>73.5</v>
      </c>
      <c r="L40" s="57">
        <v>76.5</v>
      </c>
      <c r="M40" s="58">
        <f t="shared" si="47"/>
        <v>0.625</v>
      </c>
      <c r="N40" s="59">
        <v>4</v>
      </c>
      <c r="O40" s="6">
        <f t="shared" si="48"/>
        <v>7</v>
      </c>
      <c r="Q40" s="60">
        <f t="shared" si="49"/>
        <v>17</v>
      </c>
      <c r="R40" s="61">
        <v>2</v>
      </c>
      <c r="S40" s="8" t="s">
        <v>241</v>
      </c>
      <c r="T40" s="62">
        <f t="shared" si="50"/>
        <v>0.65454545454545454</v>
      </c>
      <c r="U40" s="63">
        <v>110</v>
      </c>
      <c r="V40" s="63">
        <v>120</v>
      </c>
    </row>
    <row r="41" spans="2:22" ht="19" x14ac:dyDescent="0.2">
      <c r="B41" s="82">
        <v>23</v>
      </c>
      <c r="C41" s="87" t="s">
        <v>116</v>
      </c>
      <c r="D41" s="87" t="s">
        <v>117</v>
      </c>
      <c r="E41" s="87" t="s">
        <v>9</v>
      </c>
      <c r="F41" s="57">
        <v>61</v>
      </c>
      <c r="G41" s="57">
        <f>6.5*5+6*3+6.5+6+6.5-4</f>
        <v>65.5</v>
      </c>
      <c r="H41" s="58">
        <f t="shared" si="46"/>
        <v>0.57499999999999996</v>
      </c>
      <c r="I41" s="59">
        <v>5</v>
      </c>
      <c r="J41" s="6">
        <v>6</v>
      </c>
      <c r="K41" s="57">
        <v>72</v>
      </c>
      <c r="L41" s="57">
        <v>69.5</v>
      </c>
      <c r="M41" s="58">
        <f t="shared" si="47"/>
        <v>0.58958333333333335</v>
      </c>
      <c r="N41" s="59">
        <v>5</v>
      </c>
      <c r="O41" s="6">
        <f t="shared" si="48"/>
        <v>6</v>
      </c>
      <c r="Q41" s="60">
        <f t="shared" si="49"/>
        <v>12</v>
      </c>
      <c r="R41" s="61">
        <v>6</v>
      </c>
      <c r="S41" s="8" t="s">
        <v>241</v>
      </c>
      <c r="T41" s="62">
        <f t="shared" si="50"/>
        <v>0.58229166666666665</v>
      </c>
      <c r="U41" s="63">
        <v>110</v>
      </c>
      <c r="V41" s="63">
        <v>120</v>
      </c>
    </row>
    <row r="42" spans="2:22" ht="19" x14ac:dyDescent="0.2">
      <c r="B42" s="82">
        <v>28</v>
      </c>
      <c r="C42" s="87" t="s">
        <v>124</v>
      </c>
      <c r="D42" s="87" t="s">
        <v>125</v>
      </c>
      <c r="E42" s="87" t="s">
        <v>92</v>
      </c>
      <c r="F42" s="57">
        <v>66</v>
      </c>
      <c r="G42" s="57">
        <f>6.5*5+6*3+6+6.5*2</f>
        <v>69.5</v>
      </c>
      <c r="H42" s="58">
        <f t="shared" si="46"/>
        <v>0.61590909090909096</v>
      </c>
      <c r="I42" s="59">
        <v>3</v>
      </c>
      <c r="J42" s="6">
        <v>8</v>
      </c>
      <c r="K42" s="57">
        <v>64.5</v>
      </c>
      <c r="L42" s="57">
        <v>67.5</v>
      </c>
      <c r="M42" s="58">
        <f t="shared" si="47"/>
        <v>0.55000000000000004</v>
      </c>
      <c r="N42" s="59">
        <v>6</v>
      </c>
      <c r="O42" s="6">
        <f t="shared" si="48"/>
        <v>5</v>
      </c>
      <c r="Q42" s="60">
        <f t="shared" si="49"/>
        <v>13</v>
      </c>
      <c r="R42" s="61">
        <v>5</v>
      </c>
      <c r="S42" s="8" t="s">
        <v>241</v>
      </c>
      <c r="T42" s="62">
        <f t="shared" si="50"/>
        <v>0.5829545454545455</v>
      </c>
      <c r="U42" s="63">
        <v>110</v>
      </c>
      <c r="V42" s="63">
        <v>120</v>
      </c>
    </row>
    <row r="43" spans="2:22" ht="19" x14ac:dyDescent="0.2">
      <c r="B43" s="82">
        <v>27</v>
      </c>
      <c r="C43" s="87" t="s">
        <v>231</v>
      </c>
      <c r="D43" s="87" t="s">
        <v>123</v>
      </c>
      <c r="E43" s="87" t="s">
        <v>92</v>
      </c>
      <c r="F43" s="57" t="s">
        <v>214</v>
      </c>
      <c r="G43" s="57"/>
      <c r="H43" s="58" t="e">
        <f t="shared" si="46"/>
        <v>#DIV/0!</v>
      </c>
      <c r="I43" s="59"/>
      <c r="J43" s="6"/>
      <c r="K43" s="57"/>
      <c r="L43" s="57"/>
      <c r="M43" s="58">
        <f t="shared" si="47"/>
        <v>0</v>
      </c>
      <c r="N43" s="59"/>
      <c r="O43" s="6">
        <f t="shared" si="48"/>
        <v>0</v>
      </c>
      <c r="Q43" s="60">
        <f t="shared" si="49"/>
        <v>0</v>
      </c>
      <c r="R43" s="61"/>
      <c r="S43" s="8"/>
      <c r="T43" s="62">
        <f t="shared" si="50"/>
        <v>0</v>
      </c>
      <c r="U43" s="63">
        <v>110</v>
      </c>
      <c r="V43" s="63">
        <v>120</v>
      </c>
    </row>
    <row r="44" spans="2:22" ht="19" x14ac:dyDescent="0.2">
      <c r="B44" s="82"/>
      <c r="C44" s="83"/>
      <c r="D44" s="83"/>
      <c r="E44" s="83"/>
      <c r="F44" s="57"/>
      <c r="G44" s="57"/>
      <c r="H44" s="58">
        <f t="shared" ref="H44" si="51">IF(F44=0,0,AVERAGE(F44:G44)/U44)</f>
        <v>0</v>
      </c>
      <c r="I44" s="59"/>
      <c r="J44" s="6"/>
      <c r="K44" s="57"/>
      <c r="L44" s="57"/>
      <c r="M44" s="58">
        <f t="shared" ref="M44" si="52">IF(K44=0,0,AVERAGE(K44:L44)/V44)</f>
        <v>0</v>
      </c>
      <c r="N44" s="59"/>
      <c r="O44" s="6">
        <f t="shared" ref="O44" si="53">IF(N44=0,,IF(N44&gt;10,,11-(N44)))</f>
        <v>0</v>
      </c>
      <c r="Q44" s="60">
        <f t="shared" ref="Q44" si="54">J44+O44</f>
        <v>0</v>
      </c>
      <c r="R44" s="61"/>
      <c r="S44" s="8"/>
      <c r="T44" s="62">
        <f t="shared" ref="T44" si="55">IFERROR(AVERAGE(H44,M44),0)</f>
        <v>0</v>
      </c>
      <c r="U44" s="63">
        <v>110</v>
      </c>
      <c r="V44" s="63">
        <v>120</v>
      </c>
    </row>
    <row r="45" spans="2:22" ht="18" x14ac:dyDescent="0.2">
      <c r="B45" s="52"/>
      <c r="C45" s="53" t="s">
        <v>76</v>
      </c>
      <c r="D45" s="54" t="s">
        <v>78</v>
      </c>
      <c r="E45" s="55"/>
      <c r="F45" s="229"/>
      <c r="G45" s="230"/>
      <c r="H45" s="230"/>
      <c r="I45" s="230"/>
      <c r="J45" s="231"/>
      <c r="K45" s="229"/>
      <c r="L45" s="230"/>
      <c r="M45" s="230"/>
      <c r="N45" s="230"/>
      <c r="O45" s="231"/>
      <c r="Q45" s="232"/>
      <c r="R45" s="233"/>
      <c r="S45" s="24"/>
      <c r="T45" s="56"/>
    </row>
    <row r="46" spans="2:22" ht="19" x14ac:dyDescent="0.2">
      <c r="B46" s="82">
        <v>130</v>
      </c>
      <c r="C46" s="87" t="s">
        <v>121</v>
      </c>
      <c r="D46" s="87" t="s">
        <v>127</v>
      </c>
      <c r="E46" s="87" t="s">
        <v>9</v>
      </c>
      <c r="F46" s="57" t="s">
        <v>24</v>
      </c>
      <c r="G46" s="57"/>
      <c r="H46" s="58" t="e">
        <f t="shared" ref="H46" si="56">IF(F46=0,0,AVERAGE(F46:G46)/U46)</f>
        <v>#DIV/0!</v>
      </c>
      <c r="I46" s="59"/>
      <c r="J46" s="6"/>
      <c r="K46" s="57"/>
      <c r="L46" s="57"/>
      <c r="M46" s="58">
        <f t="shared" ref="M46" si="57">IF(K46=0,0,AVERAGE(K46:L46)/V46)</f>
        <v>0</v>
      </c>
      <c r="N46" s="59"/>
      <c r="O46" s="6">
        <f t="shared" ref="O46" si="58">IF(N46=0,,IF(N46&gt;10,,11-(N46)))</f>
        <v>0</v>
      </c>
      <c r="Q46" s="60">
        <f t="shared" ref="Q46" si="59">J46+O46</f>
        <v>0</v>
      </c>
      <c r="R46" s="61"/>
      <c r="S46" s="8"/>
      <c r="T46" s="62">
        <f t="shared" ref="T46" si="60">IFERROR(AVERAGE(H46,M46),0)</f>
        <v>0</v>
      </c>
      <c r="U46" s="63">
        <v>110</v>
      </c>
      <c r="V46" s="63">
        <v>120</v>
      </c>
    </row>
    <row r="47" spans="2:22" ht="19" x14ac:dyDescent="0.2">
      <c r="B47" s="82">
        <v>31</v>
      </c>
      <c r="C47" s="87" t="s">
        <v>128</v>
      </c>
      <c r="D47" s="87" t="s">
        <v>129</v>
      </c>
      <c r="E47" s="87" t="s">
        <v>130</v>
      </c>
      <c r="F47" s="57">
        <f>6.5+7+6+6.5*2+5.5*3+6*3-4</f>
        <v>63</v>
      </c>
      <c r="G47" s="57"/>
      <c r="H47" s="58">
        <f t="shared" ref="H47:H48" si="61">IF(F47=0,0,AVERAGE(F47:G47)/U47)</f>
        <v>0.57272727272727275</v>
      </c>
      <c r="I47" s="59">
        <v>1</v>
      </c>
      <c r="J47" s="6">
        <v>10</v>
      </c>
      <c r="K47" s="57">
        <f>7+8+7+7.5+7*2+6+6.5*4+6</f>
        <v>81.5</v>
      </c>
      <c r="L47" s="57"/>
      <c r="M47" s="58">
        <f t="shared" ref="M47:M48" si="62">IF(K47=0,0,AVERAGE(K47:L47)/V47)</f>
        <v>0.6791666666666667</v>
      </c>
      <c r="N47" s="59">
        <v>1</v>
      </c>
      <c r="O47" s="6">
        <f t="shared" ref="O47:O48" si="63">IF(N47=0,,IF(N47&gt;10,,11-(N47)))</f>
        <v>10</v>
      </c>
      <c r="Q47" s="60">
        <f t="shared" ref="Q47:Q48" si="64">J47+O47</f>
        <v>20</v>
      </c>
      <c r="R47" s="61">
        <v>1</v>
      </c>
      <c r="S47" s="8" t="s">
        <v>241</v>
      </c>
      <c r="T47" s="62">
        <f t="shared" ref="T47:T48" si="65">IFERROR(AVERAGE(H47,M47),0)</f>
        <v>0.62594696969696972</v>
      </c>
      <c r="U47" s="63">
        <v>110</v>
      </c>
      <c r="V47" s="63">
        <v>120</v>
      </c>
    </row>
    <row r="48" spans="2:22" ht="19" x14ac:dyDescent="0.2">
      <c r="B48" s="82"/>
      <c r="C48" s="83"/>
      <c r="D48" s="83"/>
      <c r="E48" s="83"/>
      <c r="F48" s="57"/>
      <c r="G48" s="57"/>
      <c r="H48" s="58">
        <f t="shared" si="61"/>
        <v>0</v>
      </c>
      <c r="I48" s="59"/>
      <c r="J48" s="6"/>
      <c r="K48" s="57"/>
      <c r="L48" s="57"/>
      <c r="M48" s="58">
        <f t="shared" si="62"/>
        <v>0</v>
      </c>
      <c r="N48" s="59"/>
      <c r="O48" s="6">
        <f t="shared" si="63"/>
        <v>0</v>
      </c>
      <c r="Q48" s="60">
        <f t="shared" si="64"/>
        <v>0</v>
      </c>
      <c r="R48" s="61"/>
      <c r="S48" s="8"/>
      <c r="T48" s="62">
        <f t="shared" si="65"/>
        <v>0</v>
      </c>
      <c r="U48" s="63">
        <v>110</v>
      </c>
      <c r="V48" s="63">
        <v>120</v>
      </c>
    </row>
    <row r="49" spans="2:22" ht="18" x14ac:dyDescent="0.2">
      <c r="B49" s="52"/>
      <c r="C49" s="53" t="s">
        <v>44</v>
      </c>
      <c r="D49" s="54" t="s">
        <v>79</v>
      </c>
      <c r="E49" s="55"/>
      <c r="F49" s="229"/>
      <c r="G49" s="230"/>
      <c r="H49" s="230"/>
      <c r="I49" s="230"/>
      <c r="J49" s="231"/>
      <c r="K49" s="229"/>
      <c r="L49" s="230"/>
      <c r="M49" s="230"/>
      <c r="N49" s="230"/>
      <c r="O49" s="231"/>
      <c r="Q49" s="232"/>
      <c r="R49" s="233"/>
      <c r="S49" s="24"/>
      <c r="T49" s="56"/>
    </row>
    <row r="50" spans="2:22" ht="19" x14ac:dyDescent="0.2">
      <c r="B50" s="82" t="s">
        <v>215</v>
      </c>
      <c r="C50" s="93" t="s">
        <v>239</v>
      </c>
      <c r="D50" s="93" t="s">
        <v>131</v>
      </c>
      <c r="E50" s="93" t="s">
        <v>132</v>
      </c>
      <c r="F50" s="57">
        <v>84</v>
      </c>
      <c r="G50" s="57">
        <f>6.5+7*4+6.5*3+6.5*3</f>
        <v>73.5</v>
      </c>
      <c r="H50" s="58">
        <f t="shared" ref="H50" si="66">IF(F50=0,0,AVERAGE(F50:G50)/U50)</f>
        <v>0.71590909090909094</v>
      </c>
      <c r="I50" s="59"/>
      <c r="J50" s="6"/>
      <c r="K50" s="57" t="s">
        <v>214</v>
      </c>
      <c r="L50" s="57"/>
      <c r="M50" s="58" t="e">
        <f t="shared" ref="M50" si="67">IF(K50=0,0,AVERAGE(K50:L50)/V50)</f>
        <v>#DIV/0!</v>
      </c>
      <c r="N50" s="59"/>
      <c r="O50" s="6">
        <f t="shared" ref="O50" si="68">IF(N50=0,,IF(N50&gt;10,,11-(N50)))</f>
        <v>0</v>
      </c>
      <c r="Q50" s="60">
        <f t="shared" ref="Q50" si="69">J50+O50</f>
        <v>0</v>
      </c>
      <c r="R50" s="61" t="s">
        <v>223</v>
      </c>
      <c r="S50" s="8"/>
      <c r="T50" s="62">
        <f t="shared" ref="T50" si="70">IFERROR(AVERAGE(H50,M50),0)</f>
        <v>0</v>
      </c>
      <c r="U50" s="63">
        <v>110</v>
      </c>
      <c r="V50" s="63">
        <v>120</v>
      </c>
    </row>
    <row r="51" spans="2:22" ht="19" x14ac:dyDescent="0.2">
      <c r="B51" s="82">
        <v>34</v>
      </c>
      <c r="C51" s="88" t="s">
        <v>137</v>
      </c>
      <c r="D51" s="88" t="s">
        <v>133</v>
      </c>
      <c r="E51" s="88" t="s">
        <v>132</v>
      </c>
      <c r="F51" s="57">
        <v>80.5</v>
      </c>
      <c r="G51" s="57">
        <v>69</v>
      </c>
      <c r="H51" s="58">
        <f t="shared" ref="H51:H52" si="71">IF(F51=0,0,AVERAGE(F51:G51)/U51)</f>
        <v>0.67954545454545456</v>
      </c>
      <c r="I51" s="59">
        <v>1</v>
      </c>
      <c r="J51" s="6">
        <v>10</v>
      </c>
      <c r="K51" s="57" t="s">
        <v>214</v>
      </c>
      <c r="L51" s="57"/>
      <c r="M51" s="58" t="e">
        <f t="shared" ref="M51:M52" si="72">IF(K51=0,0,AVERAGE(K51:L51)/V51)</f>
        <v>#DIV/0!</v>
      </c>
      <c r="N51" s="59"/>
      <c r="O51" s="6">
        <f t="shared" ref="O51:O52" si="73">IF(N51=0,,IF(N51&gt;10,,11-(N51)))</f>
        <v>0</v>
      </c>
      <c r="Q51" s="60">
        <f t="shared" ref="Q51:Q52" si="74">J51+O51</f>
        <v>10</v>
      </c>
      <c r="R51" s="61">
        <v>2</v>
      </c>
      <c r="S51" s="8"/>
      <c r="T51" s="62">
        <f t="shared" ref="T51:T52" si="75">IFERROR(AVERAGE(H51,M51),0)</f>
        <v>0</v>
      </c>
      <c r="U51" s="63">
        <v>110</v>
      </c>
      <c r="V51" s="63">
        <v>120</v>
      </c>
    </row>
    <row r="52" spans="2:22" ht="19" x14ac:dyDescent="0.2">
      <c r="B52" s="82">
        <v>35</v>
      </c>
      <c r="C52" s="88" t="s">
        <v>209</v>
      </c>
      <c r="D52" s="88" t="s">
        <v>135</v>
      </c>
      <c r="E52" s="88" t="s">
        <v>136</v>
      </c>
      <c r="F52" s="57">
        <v>82</v>
      </c>
      <c r="G52" s="57">
        <v>66</v>
      </c>
      <c r="H52" s="58">
        <f t="shared" si="71"/>
        <v>0.67272727272727273</v>
      </c>
      <c r="I52" s="59">
        <v>2</v>
      </c>
      <c r="J52" s="6">
        <v>9</v>
      </c>
      <c r="K52" s="57">
        <f>7.5*3+8*2+5.5+6+5.5+6*3+6.5-8</f>
        <v>72</v>
      </c>
      <c r="L52" s="57">
        <f>7.5+8+7.5+7*2+7+6+6.5+7*3+7-8</f>
        <v>76.5</v>
      </c>
      <c r="M52" s="58">
        <f t="shared" si="72"/>
        <v>0.61875000000000002</v>
      </c>
      <c r="N52" s="59">
        <v>1</v>
      </c>
      <c r="O52" s="6">
        <f t="shared" si="73"/>
        <v>10</v>
      </c>
      <c r="Q52" s="60">
        <f t="shared" si="74"/>
        <v>19</v>
      </c>
      <c r="R52" s="61">
        <v>1</v>
      </c>
      <c r="S52" s="8"/>
      <c r="T52" s="62">
        <f t="shared" si="75"/>
        <v>0.64573863636363638</v>
      </c>
      <c r="U52" s="63">
        <v>110</v>
      </c>
      <c r="V52" s="63">
        <v>120</v>
      </c>
    </row>
    <row r="53" spans="2:22" ht="19" x14ac:dyDescent="0.2">
      <c r="B53" s="82">
        <v>32</v>
      </c>
      <c r="C53" s="88" t="s">
        <v>115</v>
      </c>
      <c r="D53" s="88" t="s">
        <v>113</v>
      </c>
      <c r="E53" s="88" t="s">
        <v>114</v>
      </c>
      <c r="F53" s="57">
        <v>63.5</v>
      </c>
      <c r="G53" s="57">
        <f>6.5+6*3+6.5+6+5.5+5.5+6*3</f>
        <v>66</v>
      </c>
      <c r="H53" s="58">
        <f t="shared" ref="H53:H54" si="76">IF(F53=0,0,AVERAGE(F53:G53)/U53)</f>
        <v>0.58863636363636362</v>
      </c>
      <c r="I53" s="59">
        <v>3</v>
      </c>
      <c r="J53" s="6">
        <v>8</v>
      </c>
      <c r="K53" s="57">
        <v>74.5</v>
      </c>
      <c r="L53" s="57">
        <v>68</v>
      </c>
      <c r="M53" s="58">
        <f t="shared" ref="M53:M54" si="77">IF(K53=0,0,AVERAGE(K53:L53)/V53)</f>
        <v>0.59375</v>
      </c>
      <c r="N53" s="59">
        <v>2</v>
      </c>
      <c r="O53" s="6">
        <f t="shared" ref="O53:O54" si="78">IF(N53=0,,IF(N53&gt;10,,11-(N53)))</f>
        <v>9</v>
      </c>
      <c r="Q53" s="60">
        <f t="shared" ref="Q53:Q54" si="79">J53+O53</f>
        <v>17</v>
      </c>
      <c r="R53" s="61">
        <v>3</v>
      </c>
      <c r="S53" s="8"/>
      <c r="T53" s="62">
        <f t="shared" ref="T53:T54" si="80">IFERROR(AVERAGE(H53,M53),0)</f>
        <v>0.59119318181818181</v>
      </c>
      <c r="U53" s="63">
        <v>110</v>
      </c>
      <c r="V53" s="63">
        <v>120</v>
      </c>
    </row>
    <row r="54" spans="2:22" ht="19" x14ac:dyDescent="0.2">
      <c r="B54" s="82"/>
      <c r="C54" s="83"/>
      <c r="D54" s="83"/>
      <c r="E54" s="83"/>
      <c r="F54" s="57"/>
      <c r="G54" s="57"/>
      <c r="H54" s="58">
        <f t="shared" si="76"/>
        <v>0</v>
      </c>
      <c r="I54" s="59"/>
      <c r="J54" s="6"/>
      <c r="K54" s="57"/>
      <c r="L54" s="57"/>
      <c r="M54" s="58">
        <f t="shared" si="77"/>
        <v>0</v>
      </c>
      <c r="N54" s="59"/>
      <c r="O54" s="6">
        <f t="shared" si="78"/>
        <v>0</v>
      </c>
      <c r="Q54" s="60">
        <f t="shared" si="79"/>
        <v>0</v>
      </c>
      <c r="R54" s="61"/>
      <c r="S54" s="8"/>
      <c r="T54" s="62">
        <f t="shared" si="80"/>
        <v>0</v>
      </c>
      <c r="U54" s="63">
        <v>110</v>
      </c>
      <c r="V54" s="63">
        <v>120</v>
      </c>
    </row>
    <row r="55" spans="2:22" ht="18" x14ac:dyDescent="0.2">
      <c r="B55" s="52"/>
      <c r="C55" s="53" t="s">
        <v>77</v>
      </c>
      <c r="D55" s="54" t="s">
        <v>80</v>
      </c>
      <c r="E55" s="55"/>
      <c r="F55" s="229"/>
      <c r="G55" s="230"/>
      <c r="H55" s="230"/>
      <c r="I55" s="230"/>
      <c r="J55" s="231"/>
      <c r="K55" s="229"/>
      <c r="L55" s="230"/>
      <c r="M55" s="230"/>
      <c r="N55" s="230"/>
      <c r="O55" s="231"/>
      <c r="Q55" s="232"/>
      <c r="R55" s="233"/>
      <c r="S55" s="24"/>
      <c r="T55" s="56"/>
    </row>
    <row r="56" spans="2:22" ht="19" x14ac:dyDescent="0.2">
      <c r="B56" s="82">
        <v>41</v>
      </c>
      <c r="C56" s="87" t="s">
        <v>51</v>
      </c>
      <c r="D56" s="87" t="s">
        <v>149</v>
      </c>
      <c r="E56" s="87" t="s">
        <v>7</v>
      </c>
      <c r="F56" s="57" t="s">
        <v>214</v>
      </c>
      <c r="G56" s="57"/>
      <c r="H56" s="58" t="e">
        <f t="shared" ref="H56:H63" si="81">IF(F56=0,0,AVERAGE(F56:G56)/U56)</f>
        <v>#DIV/0!</v>
      </c>
      <c r="I56" s="59"/>
      <c r="J56" s="6"/>
      <c r="K56" s="57" t="s">
        <v>214</v>
      </c>
      <c r="L56" s="57"/>
      <c r="M56" s="58" t="e">
        <f t="shared" ref="M56:M63" si="82">IF(K56=0,0,AVERAGE(K56:L56)/V56)</f>
        <v>#DIV/0!</v>
      </c>
      <c r="N56" s="59"/>
      <c r="O56" s="6">
        <f t="shared" ref="O56:O63" si="83">IF(N56=0,,IF(N56&gt;10,,11-(N56)))</f>
        <v>0</v>
      </c>
      <c r="Q56" s="60">
        <f t="shared" ref="Q56:Q63" si="84">J56+O56</f>
        <v>0</v>
      </c>
      <c r="R56" s="61"/>
      <c r="S56" s="8"/>
      <c r="T56" s="62">
        <f t="shared" ref="T56:T63" si="85">IFERROR(AVERAGE(H56,M56),0)</f>
        <v>0</v>
      </c>
      <c r="U56" s="63">
        <v>110</v>
      </c>
      <c r="V56" s="63">
        <v>120</v>
      </c>
    </row>
    <row r="57" spans="2:22" ht="19" x14ac:dyDescent="0.2">
      <c r="B57" s="82">
        <v>44</v>
      </c>
      <c r="C57" s="87" t="s">
        <v>147</v>
      </c>
      <c r="D57" s="87" t="s">
        <v>148</v>
      </c>
      <c r="E57" s="87" t="s">
        <v>7</v>
      </c>
      <c r="F57" s="57" t="s">
        <v>24</v>
      </c>
      <c r="G57" s="57"/>
      <c r="H57" s="58" t="e">
        <f t="shared" si="81"/>
        <v>#DIV/0!</v>
      </c>
      <c r="I57" s="59"/>
      <c r="J57" s="6"/>
      <c r="K57" s="57" t="s">
        <v>214</v>
      </c>
      <c r="L57" s="57"/>
      <c r="M57" s="58" t="e">
        <f t="shared" si="82"/>
        <v>#DIV/0!</v>
      </c>
      <c r="N57" s="59"/>
      <c r="O57" s="6">
        <f t="shared" si="83"/>
        <v>0</v>
      </c>
      <c r="Q57" s="60">
        <f t="shared" si="84"/>
        <v>0</v>
      </c>
      <c r="R57" s="61"/>
      <c r="S57" s="8"/>
      <c r="T57" s="62">
        <f t="shared" si="85"/>
        <v>0</v>
      </c>
      <c r="U57" s="63">
        <v>110</v>
      </c>
      <c r="V57" s="63">
        <v>120</v>
      </c>
    </row>
    <row r="58" spans="2:22" ht="19" x14ac:dyDescent="0.2">
      <c r="B58" s="82">
        <v>142</v>
      </c>
      <c r="C58" s="87" t="s">
        <v>143</v>
      </c>
      <c r="D58" s="87" t="s">
        <v>144</v>
      </c>
      <c r="E58" s="87" t="s">
        <v>7</v>
      </c>
      <c r="F58" s="57" t="s">
        <v>214</v>
      </c>
      <c r="G58" s="57"/>
      <c r="H58" s="58" t="e">
        <f t="shared" si="81"/>
        <v>#DIV/0!</v>
      </c>
      <c r="I58" s="59"/>
      <c r="J58" s="6"/>
      <c r="K58" s="57" t="s">
        <v>214</v>
      </c>
      <c r="L58" s="57"/>
      <c r="M58" s="58" t="e">
        <f t="shared" si="82"/>
        <v>#DIV/0!</v>
      </c>
      <c r="N58" s="59"/>
      <c r="O58" s="6">
        <f t="shared" si="83"/>
        <v>0</v>
      </c>
      <c r="Q58" s="60">
        <f t="shared" si="84"/>
        <v>0</v>
      </c>
      <c r="R58" s="61"/>
      <c r="S58" s="8"/>
      <c r="T58" s="62">
        <f t="shared" si="85"/>
        <v>0</v>
      </c>
      <c r="U58" s="63">
        <v>110</v>
      </c>
      <c r="V58" s="63">
        <v>120</v>
      </c>
    </row>
    <row r="59" spans="2:22" ht="19" x14ac:dyDescent="0.2">
      <c r="B59" s="82">
        <v>40</v>
      </c>
      <c r="C59" s="87" t="s">
        <v>51</v>
      </c>
      <c r="D59" s="87" t="s">
        <v>142</v>
      </c>
      <c r="E59" s="87" t="s">
        <v>7</v>
      </c>
      <c r="F59" s="57">
        <v>53.5</v>
      </c>
      <c r="G59" s="57">
        <f>5.5+5.5+5+5.5+5.5+5+5.5*2+5.5*2+6-8</f>
        <v>52</v>
      </c>
      <c r="H59" s="58">
        <f t="shared" si="81"/>
        <v>0.47954545454545455</v>
      </c>
      <c r="I59" s="59">
        <v>4</v>
      </c>
      <c r="J59" s="6">
        <v>7</v>
      </c>
      <c r="K59" s="57" t="s">
        <v>24</v>
      </c>
      <c r="L59" s="57"/>
      <c r="M59" s="58" t="e">
        <f t="shared" si="82"/>
        <v>#DIV/0!</v>
      </c>
      <c r="N59" s="59"/>
      <c r="O59" s="6">
        <f t="shared" si="83"/>
        <v>0</v>
      </c>
      <c r="Q59" s="60">
        <f t="shared" si="84"/>
        <v>7</v>
      </c>
      <c r="R59" s="61"/>
      <c r="S59" s="8"/>
      <c r="T59" s="62">
        <f t="shared" si="85"/>
        <v>0</v>
      </c>
      <c r="U59" s="63">
        <v>110</v>
      </c>
      <c r="V59" s="63">
        <v>120</v>
      </c>
    </row>
    <row r="60" spans="2:22" ht="19" x14ac:dyDescent="0.2">
      <c r="B60" s="82">
        <v>143</v>
      </c>
      <c r="C60" s="87" t="s">
        <v>145</v>
      </c>
      <c r="D60" s="87" t="s">
        <v>146</v>
      </c>
      <c r="E60" s="87" t="s">
        <v>8</v>
      </c>
      <c r="F60" s="57">
        <v>67.5</v>
      </c>
      <c r="G60" s="57">
        <f>6.5+6*4+6.5+6*2+6.5+6*2-4</f>
        <v>63.5</v>
      </c>
      <c r="H60" s="58">
        <f t="shared" si="81"/>
        <v>0.59545454545454546</v>
      </c>
      <c r="I60" s="59">
        <v>1</v>
      </c>
      <c r="J60" s="6">
        <v>10</v>
      </c>
      <c r="K60" s="57">
        <f>6.5+6+6.5+6*2+6+6.5+6+6*3+5.5-4</f>
        <v>69</v>
      </c>
      <c r="L60" s="57">
        <f>6*5+5.5+6+5.5+5*3+5-4</f>
        <v>63</v>
      </c>
      <c r="M60" s="58">
        <f t="shared" si="82"/>
        <v>0.55000000000000004</v>
      </c>
      <c r="N60" s="59">
        <v>1</v>
      </c>
      <c r="O60" s="6">
        <f t="shared" si="83"/>
        <v>10</v>
      </c>
      <c r="Q60" s="60">
        <f t="shared" si="84"/>
        <v>20</v>
      </c>
      <c r="R60" s="61">
        <v>1</v>
      </c>
      <c r="S60" s="8"/>
      <c r="T60" s="62">
        <f t="shared" si="85"/>
        <v>0.57272727272727275</v>
      </c>
      <c r="U60" s="63">
        <v>110</v>
      </c>
      <c r="V60" s="63">
        <v>120</v>
      </c>
    </row>
    <row r="61" spans="2:22" ht="19" x14ac:dyDescent="0.2">
      <c r="B61" s="82">
        <v>38</v>
      </c>
      <c r="C61" s="87" t="s">
        <v>140</v>
      </c>
      <c r="D61" s="87" t="s">
        <v>141</v>
      </c>
      <c r="E61" s="87" t="s">
        <v>130</v>
      </c>
      <c r="F61" s="57">
        <v>64</v>
      </c>
      <c r="G61" s="57">
        <f>5.5+6+5.5*3+5.5*3+5.5*3</f>
        <v>61</v>
      </c>
      <c r="H61" s="58">
        <f t="shared" si="81"/>
        <v>0.56818181818181823</v>
      </c>
      <c r="I61" s="59">
        <v>2</v>
      </c>
      <c r="J61" s="6">
        <v>9</v>
      </c>
      <c r="K61" s="57">
        <f>6*2+5+6*2+6+5+6+6+5+6+5-4</f>
        <v>64</v>
      </c>
      <c r="L61" s="57">
        <f>5*4+5.5+5*3+5*3+5-4</f>
        <v>56.5</v>
      </c>
      <c r="M61" s="58">
        <f t="shared" si="82"/>
        <v>0.50208333333333333</v>
      </c>
      <c r="N61" s="59">
        <v>2</v>
      </c>
      <c r="O61" s="6">
        <f t="shared" si="83"/>
        <v>9</v>
      </c>
      <c r="Q61" s="60">
        <f t="shared" si="84"/>
        <v>18</v>
      </c>
      <c r="R61" s="61">
        <v>2</v>
      </c>
      <c r="S61" s="8"/>
      <c r="T61" s="62">
        <f t="shared" si="85"/>
        <v>0.53513257575757578</v>
      </c>
      <c r="U61" s="63">
        <v>110</v>
      </c>
      <c r="V61" s="63">
        <v>120</v>
      </c>
    </row>
    <row r="62" spans="2:22" ht="19" x14ac:dyDescent="0.2">
      <c r="B62" s="82">
        <v>37</v>
      </c>
      <c r="C62" s="87" t="s">
        <v>138</v>
      </c>
      <c r="D62" s="87" t="s">
        <v>139</v>
      </c>
      <c r="E62" s="87" t="s">
        <v>132</v>
      </c>
      <c r="F62" s="57">
        <v>56.5</v>
      </c>
      <c r="G62" s="57">
        <f>5.5+6*2+5.5+6+5.5+5*2+6*3</f>
        <v>62.5</v>
      </c>
      <c r="H62" s="58">
        <f t="shared" si="81"/>
        <v>0.54090909090909089</v>
      </c>
      <c r="I62" s="59">
        <v>3</v>
      </c>
      <c r="J62" s="6">
        <v>8</v>
      </c>
      <c r="K62" s="57">
        <f>6*2+6.5*3+6*2+5.5+6*3+6.5-16</f>
        <v>57.5</v>
      </c>
      <c r="L62" s="57">
        <f>6+5.5+5*2+5.5+5*3+5*3+6-16</f>
        <v>47</v>
      </c>
      <c r="M62" s="58">
        <f t="shared" si="82"/>
        <v>0.43541666666666667</v>
      </c>
      <c r="N62" s="59">
        <v>3</v>
      </c>
      <c r="O62" s="6">
        <f t="shared" si="83"/>
        <v>8</v>
      </c>
      <c r="Q62" s="60">
        <f t="shared" si="84"/>
        <v>16</v>
      </c>
      <c r="R62" s="61">
        <v>3</v>
      </c>
      <c r="S62" s="8"/>
      <c r="T62" s="62">
        <f t="shared" si="85"/>
        <v>0.48816287878787878</v>
      </c>
      <c r="U62" s="63">
        <v>110</v>
      </c>
      <c r="V62" s="63">
        <v>120</v>
      </c>
    </row>
    <row r="63" spans="2:22" ht="19" x14ac:dyDescent="0.2">
      <c r="B63" s="97">
        <v>39</v>
      </c>
      <c r="C63" s="98" t="s">
        <v>221</v>
      </c>
      <c r="D63" s="98" t="s">
        <v>141</v>
      </c>
      <c r="E63" s="98" t="s">
        <v>130</v>
      </c>
      <c r="F63" s="99">
        <v>62.5</v>
      </c>
      <c r="G63" s="99">
        <f>5.5+6+5.5+6*2+5.5+6+5.5+6*3</f>
        <v>64</v>
      </c>
      <c r="H63" s="100">
        <f t="shared" si="81"/>
        <v>0.57499999999999996</v>
      </c>
      <c r="I63" s="95"/>
      <c r="J63" s="101"/>
      <c r="K63" s="99">
        <f>5+6*4+5.5+6*2+6+5.5+6+6</f>
        <v>70</v>
      </c>
      <c r="L63" s="99">
        <f>5*4+5.5+5*3+5*3+5</f>
        <v>60.5</v>
      </c>
      <c r="M63" s="100">
        <f t="shared" si="82"/>
        <v>0.54374999999999996</v>
      </c>
      <c r="N63" s="95"/>
      <c r="O63" s="101">
        <f t="shared" si="83"/>
        <v>0</v>
      </c>
      <c r="P63" s="102"/>
      <c r="Q63" s="103">
        <f t="shared" si="84"/>
        <v>0</v>
      </c>
      <c r="R63" s="96"/>
      <c r="S63" s="104"/>
      <c r="T63" s="105">
        <f t="shared" si="85"/>
        <v>0.55937499999999996</v>
      </c>
      <c r="U63" s="63">
        <v>110</v>
      </c>
      <c r="V63" s="63">
        <v>120</v>
      </c>
    </row>
    <row r="64" spans="2:22" ht="19" x14ac:dyDescent="0.2">
      <c r="B64" s="82"/>
      <c r="C64" s="83"/>
      <c r="D64" s="83"/>
      <c r="E64" s="83"/>
      <c r="F64" s="57"/>
      <c r="G64" s="57"/>
      <c r="H64" s="58">
        <f t="shared" ref="H64" si="86">IF(F64=0,0,AVERAGE(F64:G64)/U64)</f>
        <v>0</v>
      </c>
      <c r="I64" s="59"/>
      <c r="J64" s="6"/>
      <c r="K64" s="57"/>
      <c r="L64" s="57"/>
      <c r="M64" s="58">
        <f t="shared" ref="M64" si="87">IF(K64=0,0,AVERAGE(K64:L64)/V64)</f>
        <v>0</v>
      </c>
      <c r="N64" s="59"/>
      <c r="O64" s="6">
        <f t="shared" ref="O64" si="88">IF(N64=0,,IF(N64&gt;10,,11-(N64)))</f>
        <v>0</v>
      </c>
      <c r="Q64" s="60">
        <f t="shared" ref="Q64" si="89">J64+O64</f>
        <v>0</v>
      </c>
      <c r="R64" s="61"/>
      <c r="S64" s="8"/>
      <c r="T64" s="62">
        <f t="shared" ref="T64" si="90">IFERROR(AVERAGE(H64,M64),0)</f>
        <v>0</v>
      </c>
      <c r="U64" s="63">
        <v>110</v>
      </c>
      <c r="V64" s="63">
        <v>120</v>
      </c>
    </row>
  </sheetData>
  <sortState xmlns:xlrd2="http://schemas.microsoft.com/office/spreadsheetml/2017/richdata2" ref="B5:V64">
    <sortCondition descending="1" ref="M37:M43"/>
  </sortState>
  <mergeCells count="29">
    <mergeCell ref="F55:J55"/>
    <mergeCell ref="K55:O55"/>
    <mergeCell ref="Q55:R55"/>
    <mergeCell ref="F45:J45"/>
    <mergeCell ref="K45:O45"/>
    <mergeCell ref="Q45:R45"/>
    <mergeCell ref="F49:J49"/>
    <mergeCell ref="K49:O49"/>
    <mergeCell ref="Q49:R49"/>
    <mergeCell ref="B1:S1"/>
    <mergeCell ref="F3:H3"/>
    <mergeCell ref="Q3:R3"/>
    <mergeCell ref="F4:G4"/>
    <mergeCell ref="H4:H5"/>
    <mergeCell ref="I4:I5"/>
    <mergeCell ref="J4:J5"/>
    <mergeCell ref="K4:L4"/>
    <mergeCell ref="M4:M5"/>
    <mergeCell ref="N4:N5"/>
    <mergeCell ref="F36:J36"/>
    <mergeCell ref="K36:O36"/>
    <mergeCell ref="Q36:R36"/>
    <mergeCell ref="V4:V5"/>
    <mergeCell ref="O4:O5"/>
    <mergeCell ref="Q4:Q5"/>
    <mergeCell ref="R4:R5"/>
    <mergeCell ref="S4:S5"/>
    <mergeCell ref="T4:T5"/>
    <mergeCell ref="U4:U5"/>
  </mergeCells>
  <conditionalFormatting sqref="S3:S6 S12:S1048576">
    <cfRule type="cellIs" dxfId="20" priority="13" operator="equal">
      <formula>"Q"</formula>
    </cfRule>
  </conditionalFormatting>
  <conditionalFormatting sqref="S7:S11 S13:S19 S21:S35">
    <cfRule type="containsText" dxfId="19" priority="12" operator="containsText" text="Q">
      <formula>NOT(ISERROR(SEARCH("Q",S7)))</formula>
    </cfRule>
  </conditionalFormatting>
  <conditionalFormatting sqref="S37:S44">
    <cfRule type="containsText" dxfId="18" priority="8" operator="containsText" text="Q">
      <formula>NOT(ISERROR(SEARCH("Q",S37)))</formula>
    </cfRule>
  </conditionalFormatting>
  <conditionalFormatting sqref="S7:S11">
    <cfRule type="cellIs" dxfId="17" priority="6" operator="equal">
      <formula>"Q"</formula>
    </cfRule>
  </conditionalFormatting>
  <conditionalFormatting sqref="S10">
    <cfRule type="cellIs" dxfId="16" priority="5" operator="equal">
      <formula>"Q"</formula>
    </cfRule>
  </conditionalFormatting>
  <conditionalFormatting sqref="S7:S11">
    <cfRule type="cellIs" dxfId="15" priority="4" operator="equal">
      <formula>"Q"</formula>
    </cfRule>
  </conditionalFormatting>
  <conditionalFormatting sqref="S46:S48">
    <cfRule type="containsText" dxfId="14" priority="3" operator="containsText" text="Q">
      <formula>NOT(ISERROR(SEARCH("Q",S46)))</formula>
    </cfRule>
  </conditionalFormatting>
  <conditionalFormatting sqref="S50:S54">
    <cfRule type="containsText" dxfId="13" priority="2" operator="containsText" text="Q">
      <formula>NOT(ISERROR(SEARCH("Q",S50)))</formula>
    </cfRule>
  </conditionalFormatting>
  <conditionalFormatting sqref="S56:S64">
    <cfRule type="containsText" dxfId="12" priority="1" operator="containsText" text="Q">
      <formula>NOT(ISERROR(SEARCH("Q",S56)))</formula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CE9B-EA99-41B4-9C29-AA48C8D451BB}">
  <dimension ref="B1:V60"/>
  <sheetViews>
    <sheetView workbookViewId="0">
      <selection activeCell="C36" sqref="A36:XFD36"/>
    </sheetView>
  </sheetViews>
  <sheetFormatPr baseColWidth="10" defaultColWidth="8.83203125" defaultRowHeight="15" x14ac:dyDescent="0.2"/>
  <cols>
    <col min="3" max="3" width="35.83203125" customWidth="1"/>
  </cols>
  <sheetData>
    <row r="1" spans="2:22" ht="18" customHeight="1" x14ac:dyDescent="0.2">
      <c r="B1" s="50" t="s">
        <v>36</v>
      </c>
      <c r="C1" s="50" t="s">
        <v>37</v>
      </c>
      <c r="D1" s="50" t="s">
        <v>38</v>
      </c>
      <c r="E1" s="50" t="s">
        <v>39</v>
      </c>
      <c r="F1" s="51" t="s">
        <v>40</v>
      </c>
      <c r="G1" s="51" t="s">
        <v>41</v>
      </c>
      <c r="K1" s="51" t="s">
        <v>40</v>
      </c>
      <c r="L1" s="51" t="s">
        <v>41</v>
      </c>
    </row>
    <row r="2" spans="2:22" ht="18" x14ac:dyDescent="0.2">
      <c r="B2" s="52"/>
      <c r="C2" s="53" t="s">
        <v>42</v>
      </c>
      <c r="D2" s="54" t="s">
        <v>61</v>
      </c>
      <c r="E2" s="55"/>
      <c r="F2" s="69"/>
      <c r="G2" s="70"/>
      <c r="H2" s="70"/>
      <c r="I2" s="70"/>
      <c r="J2" s="71"/>
      <c r="K2" s="69"/>
      <c r="L2" s="70"/>
      <c r="M2" s="70"/>
      <c r="N2" s="70"/>
      <c r="O2" s="71"/>
      <c r="Q2" s="72"/>
      <c r="R2" s="73"/>
      <c r="S2" s="24"/>
      <c r="T2" s="56"/>
    </row>
    <row r="3" spans="2:22" ht="19" x14ac:dyDescent="0.2">
      <c r="B3" s="66">
        <v>4</v>
      </c>
      <c r="C3" s="87" t="s">
        <v>68</v>
      </c>
      <c r="D3" s="87" t="s">
        <v>69</v>
      </c>
      <c r="E3" s="87" t="s">
        <v>9</v>
      </c>
      <c r="F3" s="57">
        <v>72.5</v>
      </c>
      <c r="G3" s="57">
        <v>67.5</v>
      </c>
      <c r="H3" s="58">
        <f>IF(F3=0,0,AVERAGE(F3:G3)/U3)</f>
        <v>0.63636363636363635</v>
      </c>
      <c r="I3" s="59">
        <v>1</v>
      </c>
      <c r="J3" s="6">
        <f>IF(I3=0,,IF(I3&gt;10,,11-(I3)))</f>
        <v>10</v>
      </c>
      <c r="K3" s="57">
        <f>6.5*2+7+6.5+7+6.5*2+7+6.5+7*2+6.5</f>
        <v>80.5</v>
      </c>
      <c r="L3" s="57">
        <f>7.5+6.5+6*2+6.5+7*2+6.5+6.5*3+7</f>
        <v>79.5</v>
      </c>
      <c r="M3" s="58">
        <f>IF(K3=0,0,AVERAGE(K3:L3)/V3)</f>
        <v>0.66666666666666663</v>
      </c>
      <c r="N3" s="59">
        <v>1</v>
      </c>
      <c r="O3" s="6">
        <f>IF(N3=0,,IF(N3&gt;10,,11-(N3)))</f>
        <v>10</v>
      </c>
      <c r="Q3" s="60">
        <f>J3+O3</f>
        <v>20</v>
      </c>
      <c r="R3" s="61">
        <v>1</v>
      </c>
      <c r="S3" s="8" t="str">
        <f>IF(OR(R3&gt;10,R3=0),"-",IF(AND(H3&gt;=0.55,M3&gt;=0.55),"Q2",IF(OR(H3&gt;=0.55,M3&gt;=0.55),"Q1","-")))</f>
        <v>Q2</v>
      </c>
      <c r="T3" s="62">
        <f>IFERROR(AVERAGE(H3,M3),0)</f>
        <v>0.65151515151515149</v>
      </c>
      <c r="U3" s="63">
        <v>110</v>
      </c>
      <c r="V3" s="63">
        <v>120</v>
      </c>
    </row>
    <row r="4" spans="2:22" ht="19" x14ac:dyDescent="0.2">
      <c r="B4" s="66">
        <v>1</v>
      </c>
      <c r="C4" s="87" t="s">
        <v>52</v>
      </c>
      <c r="D4" s="87" t="s">
        <v>62</v>
      </c>
      <c r="E4" s="87" t="s">
        <v>49</v>
      </c>
      <c r="F4" s="57">
        <v>65</v>
      </c>
      <c r="G4" s="57">
        <v>63.5</v>
      </c>
      <c r="H4" s="58">
        <f>IF(F4=0,0,AVERAGE(F4:G4)/U4)</f>
        <v>0.58409090909090911</v>
      </c>
      <c r="I4" s="59">
        <v>2</v>
      </c>
      <c r="J4" s="6">
        <f>IF(I4=0,,IF(I4&gt;10,,11-(I4)))</f>
        <v>9</v>
      </c>
      <c r="K4" s="57">
        <f>5.5+6+5.5+6*2+5.5+6*2+6*2+5.5+6.5</f>
        <v>70.5</v>
      </c>
      <c r="L4" s="57">
        <f>5*5+5*3+5*3+5</f>
        <v>60</v>
      </c>
      <c r="M4" s="58">
        <f>IF(K4=0,0,AVERAGE(K4:L4)/V4)</f>
        <v>0.54374999999999996</v>
      </c>
      <c r="N4" s="59">
        <v>4</v>
      </c>
      <c r="O4" s="6">
        <f>IF(N4=0,,IF(N4&gt;10,,11-(N4)))</f>
        <v>7</v>
      </c>
      <c r="Q4" s="60">
        <f>J4+O4</f>
        <v>16</v>
      </c>
      <c r="R4" s="61">
        <v>3</v>
      </c>
      <c r="S4" s="8" t="str">
        <f>IF(OR(R4&gt;10,R4=0),"-",IF(AND(H4&gt;=0.55,M4&gt;=0.55),"Q2",IF(OR(H4&gt;=0.55,M4&gt;=0.55),"Q1","-")))</f>
        <v>Q1</v>
      </c>
      <c r="T4" s="62">
        <f>IFERROR(AVERAGE(H4,M4),0)</f>
        <v>0.56392045454545459</v>
      </c>
      <c r="U4" s="63">
        <v>110</v>
      </c>
      <c r="V4" s="63">
        <v>120</v>
      </c>
    </row>
    <row r="5" spans="2:22" ht="19" x14ac:dyDescent="0.2">
      <c r="B5" s="66">
        <v>2</v>
      </c>
      <c r="C5" s="87" t="s">
        <v>63</v>
      </c>
      <c r="D5" s="87" t="s">
        <v>64</v>
      </c>
      <c r="E5" s="87" t="s">
        <v>8</v>
      </c>
      <c r="F5" s="57">
        <v>62.5</v>
      </c>
      <c r="G5" s="57">
        <v>64</v>
      </c>
      <c r="H5" s="58">
        <f>IF(F5=0,0,AVERAGE(F5:G5)/U5)</f>
        <v>0.57499999999999996</v>
      </c>
      <c r="I5" s="59">
        <v>3</v>
      </c>
      <c r="J5" s="6">
        <f>IF(I5=0,,IF(I5&gt;10,,11-(I5)))</f>
        <v>8</v>
      </c>
      <c r="K5" s="57">
        <f>6+6.5+5.5+6*2+6*2+6.5+6.5*2+6+5.5</f>
        <v>73</v>
      </c>
      <c r="L5" s="57">
        <f>5+5.5+5*3+5*3+5*3+5</f>
        <v>60.5</v>
      </c>
      <c r="M5" s="58">
        <f>IF(K5=0,0,AVERAGE(K5:L5)/V5)</f>
        <v>0.55625000000000002</v>
      </c>
      <c r="N5" s="59">
        <v>2</v>
      </c>
      <c r="O5" s="6">
        <f>IF(N5=0,,IF(N5&gt;10,,11-(N5)))</f>
        <v>9</v>
      </c>
      <c r="Q5" s="60">
        <f>J5+O5</f>
        <v>17</v>
      </c>
      <c r="R5" s="61">
        <v>2</v>
      </c>
      <c r="S5" s="8" t="str">
        <f>IF(OR(R5&gt;10,R5=0),"-",IF(AND(H5&gt;=0.55,M5&gt;=0.55),"Q2",IF(OR(H5&gt;=0.55,M5&gt;=0.55),"Q1","-")))</f>
        <v>Q2</v>
      </c>
      <c r="T5" s="62">
        <f>IFERROR(AVERAGE(H5,M5),0)</f>
        <v>0.56562500000000004</v>
      </c>
      <c r="U5" s="63">
        <v>110</v>
      </c>
      <c r="V5" s="63">
        <v>120</v>
      </c>
    </row>
    <row r="6" spans="2:22" ht="19" x14ac:dyDescent="0.2">
      <c r="B6" s="66">
        <v>3</v>
      </c>
      <c r="C6" s="87" t="s">
        <v>65</v>
      </c>
      <c r="D6" s="87" t="s">
        <v>66</v>
      </c>
      <c r="E6" s="87" t="s">
        <v>67</v>
      </c>
      <c r="F6" s="57">
        <v>60</v>
      </c>
      <c r="G6" s="57">
        <v>62.5</v>
      </c>
      <c r="H6" s="58">
        <f>IF(F6=0,0,AVERAGE(F6:G6)/U6)</f>
        <v>0.55681818181818177</v>
      </c>
      <c r="I6" s="59">
        <v>4</v>
      </c>
      <c r="J6" s="6">
        <f>IF(I6=0,,IF(I6&gt;10,,11-(I6)))</f>
        <v>7</v>
      </c>
      <c r="K6" s="57">
        <f>6*5+5.5+6+5.5+6+5.5+5+6.5</f>
        <v>70</v>
      </c>
      <c r="L6" s="57">
        <f>5.5*2+5*3+5*3+5*3+5</f>
        <v>61</v>
      </c>
      <c r="M6" s="58">
        <f>IF(K6=0,0,AVERAGE(K6:L6)/V6)</f>
        <v>0.54583333333333328</v>
      </c>
      <c r="N6" s="59">
        <v>3</v>
      </c>
      <c r="O6" s="6">
        <f>IF(N6=0,,IF(N6&gt;10,,11-(N6)))</f>
        <v>8</v>
      </c>
      <c r="Q6" s="60">
        <f>J6+O6</f>
        <v>15</v>
      </c>
      <c r="R6" s="61">
        <v>4</v>
      </c>
      <c r="S6" s="8" t="str">
        <f>IF(OR(R6&gt;10,R6=0),"-",IF(AND(H6&gt;=0.55,M6&gt;=0.55),"Q2",IF(OR(H6&gt;=0.55,M6&gt;=0.55),"Q1","-")))</f>
        <v>Q1</v>
      </c>
      <c r="T6" s="62">
        <f>IFERROR(AVERAGE(H6,M6),0)</f>
        <v>0.55132575757575752</v>
      </c>
      <c r="U6" s="63">
        <v>110</v>
      </c>
      <c r="V6" s="63">
        <v>120</v>
      </c>
    </row>
    <row r="7" spans="2:22" ht="19" x14ac:dyDescent="0.2">
      <c r="B7" s="66"/>
      <c r="C7" s="64"/>
      <c r="D7" s="64"/>
      <c r="E7" s="64"/>
      <c r="F7" s="57"/>
      <c r="G7" s="57"/>
      <c r="H7" s="58">
        <f t="shared" ref="H7" si="0">IF(F7=0,0,AVERAGE(F7:G7)/U7)</f>
        <v>0</v>
      </c>
      <c r="I7" s="59"/>
      <c r="J7" s="6">
        <f t="shared" ref="J7" si="1">IF(I7=0,,IF(I7&gt;10,,11-(I7)))</f>
        <v>0</v>
      </c>
      <c r="K7" s="57"/>
      <c r="L7" s="57"/>
      <c r="M7" s="58">
        <f t="shared" ref="M7" si="2">IF(K7=0,0,AVERAGE(K7:L7)/V7)</f>
        <v>0</v>
      </c>
      <c r="N7" s="59"/>
      <c r="O7" s="6">
        <f t="shared" ref="O7" si="3">IF(N7=0,,IF(N7&gt;10,,11-(N7)))</f>
        <v>0</v>
      </c>
      <c r="Q7" s="60">
        <f t="shared" ref="Q7" si="4">J7+O7</f>
        <v>0</v>
      </c>
      <c r="R7" s="61"/>
      <c r="S7" s="8" t="str">
        <f t="shared" ref="S7" si="5">IF(OR(R7&gt;10,R7=0),"-",IF(AND(H7&gt;=0.55,M7&gt;=0.55),"Q2",IF(OR(H7&gt;=0.55,M7&gt;=0.55),"Q1","-")))</f>
        <v>-</v>
      </c>
      <c r="T7" s="62">
        <f t="shared" ref="T7" si="6">IFERROR(AVERAGE(H7,M7),0)</f>
        <v>0</v>
      </c>
      <c r="U7" s="63">
        <v>110</v>
      </c>
      <c r="V7" s="63">
        <v>120</v>
      </c>
    </row>
    <row r="8" spans="2:22" ht="18" x14ac:dyDescent="0.2">
      <c r="B8" s="52"/>
      <c r="C8" s="53" t="s">
        <v>43</v>
      </c>
      <c r="D8" s="54" t="s">
        <v>70</v>
      </c>
      <c r="E8" s="55"/>
      <c r="F8" s="69"/>
      <c r="G8" s="70"/>
      <c r="H8" s="70"/>
      <c r="I8" s="70"/>
      <c r="J8" s="71"/>
      <c r="K8" s="69"/>
      <c r="L8" s="70"/>
      <c r="M8" s="70"/>
      <c r="N8" s="70"/>
      <c r="O8" s="71"/>
      <c r="Q8" s="72"/>
      <c r="R8" s="73"/>
      <c r="S8" s="24"/>
      <c r="T8" s="56"/>
    </row>
    <row r="9" spans="2:22" ht="19" x14ac:dyDescent="0.2">
      <c r="B9" s="66">
        <v>105</v>
      </c>
      <c r="C9" s="87" t="s">
        <v>81</v>
      </c>
      <c r="D9" s="87" t="s">
        <v>82</v>
      </c>
      <c r="E9" s="87" t="s">
        <v>93</v>
      </c>
      <c r="F9" s="57">
        <v>66.5</v>
      </c>
      <c r="G9" s="57">
        <v>64.5</v>
      </c>
      <c r="H9" s="58">
        <f t="shared" ref="H9:H14" si="7">IF(F9=0,0,AVERAGE(F9:G9)/U9)</f>
        <v>0.59545454545454546</v>
      </c>
      <c r="I9" s="59">
        <v>4</v>
      </c>
      <c r="J9" s="6">
        <f t="shared" ref="J9:J14" si="8">IF(I9=0,,IF(I9&gt;10,,11-(I9)))</f>
        <v>7</v>
      </c>
      <c r="K9" s="57" t="s">
        <v>24</v>
      </c>
      <c r="L9" s="57"/>
      <c r="M9" s="58" t="e">
        <f t="shared" ref="M9:M14" si="9">IF(K9=0,0,AVERAGE(K9:L9)/V9)</f>
        <v>#DIV/0!</v>
      </c>
      <c r="N9" s="59"/>
      <c r="O9" s="6">
        <f t="shared" ref="O9:O14" si="10">IF(N9=0,,IF(N9&gt;10,,11-(N9)))</f>
        <v>0</v>
      </c>
      <c r="Q9" s="60">
        <f t="shared" ref="Q9:Q14" si="11">J9+O9</f>
        <v>7</v>
      </c>
      <c r="R9" s="61"/>
      <c r="S9" s="8" t="str">
        <f t="shared" ref="S9:S14" si="12">IF(OR(R9&gt;10,R9=0),"-",IF(AND(H9&gt;=0.55,M9&gt;=0.55),"Q2",IF(OR(H9&gt;=0.55,M9&gt;=0.55),"Q1","-")))</f>
        <v>-</v>
      </c>
      <c r="T9" s="62">
        <f t="shared" ref="T9:T14" si="13">IFERROR(AVERAGE(H9,M9),0)</f>
        <v>0</v>
      </c>
      <c r="U9" s="63">
        <v>110</v>
      </c>
      <c r="V9" s="63">
        <v>120</v>
      </c>
    </row>
    <row r="10" spans="2:22" ht="19" x14ac:dyDescent="0.2">
      <c r="B10" s="66">
        <v>8</v>
      </c>
      <c r="C10" s="87" t="s">
        <v>87</v>
      </c>
      <c r="D10" s="87" t="s">
        <v>88</v>
      </c>
      <c r="E10" s="87" t="s">
        <v>6</v>
      </c>
      <c r="F10" s="57">
        <v>68</v>
      </c>
      <c r="G10" s="57">
        <v>63.5</v>
      </c>
      <c r="H10" s="58">
        <f t="shared" si="7"/>
        <v>0.59772727272727277</v>
      </c>
      <c r="I10" s="59">
        <v>3</v>
      </c>
      <c r="J10" s="6">
        <f t="shared" si="8"/>
        <v>8</v>
      </c>
      <c r="K10" s="57">
        <f>7+7.5+7+7.5*2+8*3+8*3+7</f>
        <v>91.5</v>
      </c>
      <c r="L10" s="57">
        <f>6*2+5.5+6+5.5*2+6*2+5.5+6*2+5.5</f>
        <v>69.5</v>
      </c>
      <c r="M10" s="58">
        <f t="shared" si="9"/>
        <v>0.67083333333333328</v>
      </c>
      <c r="N10" s="59">
        <v>1</v>
      </c>
      <c r="O10" s="6">
        <f t="shared" si="10"/>
        <v>10</v>
      </c>
      <c r="Q10" s="60">
        <f t="shared" si="11"/>
        <v>18</v>
      </c>
      <c r="R10" s="61">
        <v>2</v>
      </c>
      <c r="S10" s="8" t="str">
        <f t="shared" si="12"/>
        <v>Q2</v>
      </c>
      <c r="T10" s="62">
        <f t="shared" si="13"/>
        <v>0.63428030303030303</v>
      </c>
      <c r="U10" s="63">
        <v>110</v>
      </c>
      <c r="V10" s="63">
        <v>120</v>
      </c>
    </row>
    <row r="11" spans="2:22" ht="19" x14ac:dyDescent="0.2">
      <c r="B11" s="66">
        <v>7</v>
      </c>
      <c r="C11" s="116" t="s">
        <v>229</v>
      </c>
      <c r="D11" s="87" t="s">
        <v>85</v>
      </c>
      <c r="E11" s="87" t="s">
        <v>86</v>
      </c>
      <c r="F11" s="57">
        <v>71</v>
      </c>
      <c r="G11" s="57">
        <v>69.5</v>
      </c>
      <c r="H11" s="58">
        <f t="shared" si="7"/>
        <v>0.63863636363636367</v>
      </c>
      <c r="I11" s="59">
        <v>1</v>
      </c>
      <c r="J11" s="6">
        <f t="shared" si="8"/>
        <v>10</v>
      </c>
      <c r="K11" s="57">
        <f>6.5+6+6.5*2+6+6.5+6+6.5+6.5*3+6.5</f>
        <v>76.5</v>
      </c>
      <c r="L11" s="57">
        <f>6*3+6.5*2+6*2+6.5+6*3+6</f>
        <v>73.5</v>
      </c>
      <c r="M11" s="58">
        <f t="shared" si="9"/>
        <v>0.625</v>
      </c>
      <c r="N11" s="59">
        <v>2</v>
      </c>
      <c r="O11" s="6">
        <f t="shared" si="10"/>
        <v>9</v>
      </c>
      <c r="Q11" s="60">
        <f t="shared" si="11"/>
        <v>19</v>
      </c>
      <c r="R11" s="61">
        <v>1</v>
      </c>
      <c r="S11" s="8" t="str">
        <f t="shared" si="12"/>
        <v>Q2</v>
      </c>
      <c r="T11" s="62">
        <f t="shared" si="13"/>
        <v>0.63181818181818183</v>
      </c>
      <c r="U11" s="63">
        <v>110</v>
      </c>
      <c r="V11" s="63">
        <v>120</v>
      </c>
    </row>
    <row r="12" spans="2:22" ht="19" x14ac:dyDescent="0.2">
      <c r="B12" s="66">
        <v>6</v>
      </c>
      <c r="C12" s="87" t="s">
        <v>83</v>
      </c>
      <c r="D12" s="87" t="s">
        <v>84</v>
      </c>
      <c r="E12" s="87" t="s">
        <v>9</v>
      </c>
      <c r="F12" s="57">
        <v>64.5</v>
      </c>
      <c r="G12" s="57">
        <v>60.5</v>
      </c>
      <c r="H12" s="58">
        <f t="shared" si="7"/>
        <v>0.56818181818181823</v>
      </c>
      <c r="I12" s="59">
        <v>5</v>
      </c>
      <c r="J12" s="6">
        <f t="shared" si="8"/>
        <v>6</v>
      </c>
      <c r="K12" s="57">
        <f>6+5.5*2+6*2+6.5+6+6.5+6*2+6.5+6.5-4</f>
        <v>69</v>
      </c>
      <c r="L12" s="57">
        <f>6*2+5.5+6+5.5*2+5*2+5*3+6.5-4</f>
        <v>62</v>
      </c>
      <c r="M12" s="58">
        <f t="shared" si="9"/>
        <v>0.54583333333333328</v>
      </c>
      <c r="N12" s="59">
        <v>3</v>
      </c>
      <c r="O12" s="6">
        <f t="shared" si="10"/>
        <v>8</v>
      </c>
      <c r="Q12" s="60">
        <f t="shared" si="11"/>
        <v>14</v>
      </c>
      <c r="R12" s="61">
        <v>4</v>
      </c>
      <c r="S12" s="8" t="str">
        <f t="shared" si="12"/>
        <v>Q1</v>
      </c>
      <c r="T12" s="62">
        <f t="shared" si="13"/>
        <v>0.55700757575757576</v>
      </c>
      <c r="U12" s="63">
        <v>110</v>
      </c>
      <c r="V12" s="63">
        <v>120</v>
      </c>
    </row>
    <row r="13" spans="2:22" ht="19" x14ac:dyDescent="0.2">
      <c r="B13" s="66">
        <v>9</v>
      </c>
      <c r="C13" s="87" t="s">
        <v>47</v>
      </c>
      <c r="D13" s="87" t="s">
        <v>89</v>
      </c>
      <c r="E13" s="87" t="s">
        <v>86</v>
      </c>
      <c r="F13" s="57">
        <v>69</v>
      </c>
      <c r="G13" s="57">
        <v>64</v>
      </c>
      <c r="H13" s="58">
        <f t="shared" si="7"/>
        <v>0.6045454545454545</v>
      </c>
      <c r="I13" s="59">
        <v>2</v>
      </c>
      <c r="J13" s="6">
        <f t="shared" si="8"/>
        <v>9</v>
      </c>
      <c r="K13" s="57">
        <f>6.5*2+6+6.5*2+5+5.5*2+6+5.5+5.5+6.5-8</f>
        <v>63.5</v>
      </c>
      <c r="L13" s="57">
        <f>6*2+5+5.5*2+5*3+5*3+5-8</f>
        <v>55</v>
      </c>
      <c r="M13" s="58">
        <f t="shared" si="9"/>
        <v>0.49375000000000002</v>
      </c>
      <c r="N13" s="59">
        <v>4</v>
      </c>
      <c r="O13" s="6">
        <f t="shared" si="10"/>
        <v>7</v>
      </c>
      <c r="Q13" s="60">
        <f t="shared" si="11"/>
        <v>16</v>
      </c>
      <c r="R13" s="61">
        <v>3</v>
      </c>
      <c r="S13" s="8" t="str">
        <f t="shared" si="12"/>
        <v>Q1</v>
      </c>
      <c r="T13" s="62">
        <f t="shared" si="13"/>
        <v>0.5491477272727272</v>
      </c>
      <c r="U13" s="63">
        <v>110</v>
      </c>
      <c r="V13" s="63">
        <v>120</v>
      </c>
    </row>
    <row r="14" spans="2:22" s="102" customFormat="1" ht="19" x14ac:dyDescent="0.2">
      <c r="B14" s="106">
        <v>10</v>
      </c>
      <c r="C14" s="98" t="s">
        <v>236</v>
      </c>
      <c r="D14" s="98" t="s">
        <v>91</v>
      </c>
      <c r="E14" s="98" t="s">
        <v>92</v>
      </c>
      <c r="F14" s="99">
        <v>55</v>
      </c>
      <c r="G14" s="99">
        <v>55.5</v>
      </c>
      <c r="H14" s="100">
        <f t="shared" si="7"/>
        <v>0.50227272727272732</v>
      </c>
      <c r="I14" s="95"/>
      <c r="J14" s="101">
        <f t="shared" si="8"/>
        <v>0</v>
      </c>
      <c r="K14" s="99">
        <f>7*4+6.5*2+6*2+0.5+6*2+6-4</f>
        <v>67.5</v>
      </c>
      <c r="L14" s="99">
        <f>6+6.5+6+5.5*2+6+5.5*2+5.5*3+6.5-4</f>
        <v>65.5</v>
      </c>
      <c r="M14" s="100">
        <f t="shared" si="9"/>
        <v>0.5541666666666667</v>
      </c>
      <c r="N14" s="95"/>
      <c r="O14" s="101">
        <f t="shared" si="10"/>
        <v>0</v>
      </c>
      <c r="Q14" s="103">
        <f t="shared" si="11"/>
        <v>0</v>
      </c>
      <c r="R14" s="96"/>
      <c r="S14" s="104" t="str">
        <f t="shared" si="12"/>
        <v>-</v>
      </c>
      <c r="T14" s="105">
        <f t="shared" si="13"/>
        <v>0.52821969696969706</v>
      </c>
      <c r="U14" s="107">
        <v>110</v>
      </c>
      <c r="V14" s="107">
        <v>120</v>
      </c>
    </row>
    <row r="15" spans="2:22" ht="19" x14ac:dyDescent="0.2">
      <c r="B15" s="66"/>
      <c r="C15" s="64"/>
      <c r="D15" s="64"/>
      <c r="E15" s="64"/>
      <c r="F15" s="57"/>
      <c r="G15" s="57"/>
      <c r="H15" s="58">
        <f t="shared" ref="H15" si="14">IF(F15=0,0,AVERAGE(F15:G15)/U15)</f>
        <v>0</v>
      </c>
      <c r="I15" s="59"/>
      <c r="J15" s="6">
        <f t="shared" ref="J15" si="15">IF(I15=0,,IF(I15&gt;10,,11-(I15)))</f>
        <v>0</v>
      </c>
      <c r="K15" s="57"/>
      <c r="L15" s="57"/>
      <c r="M15" s="58">
        <f t="shared" ref="M15" si="16">IF(K15=0,0,AVERAGE(K15:L15)/V15)</f>
        <v>0</v>
      </c>
      <c r="N15" s="59"/>
      <c r="O15" s="6">
        <f t="shared" ref="O15" si="17">IF(N15=0,,IF(N15&gt;10,,11-(N15)))</f>
        <v>0</v>
      </c>
      <c r="Q15" s="60">
        <f t="shared" ref="Q15" si="18">J15+O15</f>
        <v>0</v>
      </c>
      <c r="R15" s="61"/>
      <c r="S15" s="8" t="str">
        <f t="shared" ref="S15" si="19">IF(OR(R15&gt;10,R15=0),"-",IF(AND(H15&gt;=0.55,M15&gt;=0.55),"Q2",IF(OR(H15&gt;=0.55,M15&gt;=0.55),"Q1","-")))</f>
        <v>-</v>
      </c>
      <c r="T15" s="62">
        <f t="shared" ref="T15" si="20">IFERROR(AVERAGE(H15,M15),0)</f>
        <v>0</v>
      </c>
      <c r="U15" s="63">
        <v>110</v>
      </c>
      <c r="V15" s="63">
        <v>120</v>
      </c>
    </row>
    <row r="16" spans="2:22" ht="18" x14ac:dyDescent="0.2">
      <c r="B16" s="52"/>
      <c r="C16" s="53" t="s">
        <v>46</v>
      </c>
      <c r="D16" s="54" t="s">
        <v>71</v>
      </c>
      <c r="E16" s="55"/>
      <c r="F16" s="69"/>
      <c r="G16" s="70"/>
      <c r="H16" s="70"/>
      <c r="I16" s="70"/>
      <c r="J16" s="71"/>
      <c r="K16" s="69"/>
      <c r="L16" s="70"/>
      <c r="M16" s="70"/>
      <c r="N16" s="70"/>
      <c r="O16" s="71"/>
      <c r="Q16" s="72"/>
      <c r="R16" s="73"/>
      <c r="S16" s="24"/>
      <c r="T16" s="56"/>
    </row>
    <row r="17" spans="2:22" ht="19" x14ac:dyDescent="0.2">
      <c r="B17" s="66">
        <v>12</v>
      </c>
      <c r="C17" s="87" t="s">
        <v>95</v>
      </c>
      <c r="D17" s="87" t="s">
        <v>96</v>
      </c>
      <c r="E17" s="87" t="s">
        <v>86</v>
      </c>
      <c r="F17" s="57">
        <v>69</v>
      </c>
      <c r="G17" s="57">
        <v>70</v>
      </c>
      <c r="H17" s="58">
        <f>IF(F17=0,0,AVERAGE(F17:G17)/U17)</f>
        <v>0.63181818181818183</v>
      </c>
      <c r="I17" s="59">
        <v>1</v>
      </c>
      <c r="J17" s="6">
        <f>IF(I17=0,,IF(I17&gt;10,,11-(I17)))</f>
        <v>10</v>
      </c>
      <c r="K17" s="57">
        <v>87</v>
      </c>
      <c r="L17" s="57">
        <v>83.5</v>
      </c>
      <c r="M17" s="58">
        <f>IF(K17=0,0,AVERAGE(K17:L17)/V17)</f>
        <v>0.7104166666666667</v>
      </c>
      <c r="N17" s="59">
        <v>1</v>
      </c>
      <c r="O17" s="6">
        <f>IF(N17=0,,IF(N17&gt;10,,11-(N17)))</f>
        <v>10</v>
      </c>
      <c r="Q17" s="60">
        <f>J17+O17</f>
        <v>20</v>
      </c>
      <c r="R17" s="61">
        <v>1</v>
      </c>
      <c r="S17" s="8" t="str">
        <f>IF(OR(R17&gt;10,R17=0),"-",IF(AND(H17&gt;=0.55,M17&gt;=0.55),"Q2",IF(OR(H17&gt;=0.55,M17&gt;=0.55),"Q1","-")))</f>
        <v>Q2</v>
      </c>
      <c r="T17" s="62">
        <f>IFERROR(AVERAGE(H17,M17),0)</f>
        <v>0.67111742424242427</v>
      </c>
      <c r="U17" s="63">
        <v>110</v>
      </c>
      <c r="V17" s="63">
        <v>120</v>
      </c>
    </row>
    <row r="18" spans="2:22" ht="19" x14ac:dyDescent="0.2">
      <c r="B18" s="66">
        <v>114</v>
      </c>
      <c r="C18" s="87" t="s">
        <v>97</v>
      </c>
      <c r="D18" s="87" t="s">
        <v>98</v>
      </c>
      <c r="E18" s="87" t="s">
        <v>92</v>
      </c>
      <c r="F18" s="57">
        <v>64.5</v>
      </c>
      <c r="G18" s="57">
        <f>7*5+6.5+6+6.5+6+7+7.5</f>
        <v>74.5</v>
      </c>
      <c r="H18" s="58">
        <f>IF(F18=0,0,AVERAGE(F18:G18)/U18)</f>
        <v>0.63181818181818183</v>
      </c>
      <c r="I18" s="59">
        <v>1</v>
      </c>
      <c r="J18" s="6">
        <f>IF(I18=0,,IF(I18&gt;10,,11-(I18)))</f>
        <v>10</v>
      </c>
      <c r="K18" s="57">
        <v>72</v>
      </c>
      <c r="L18" s="57">
        <v>70.5</v>
      </c>
      <c r="M18" s="58">
        <f>IF(K18=0,0,AVERAGE(K18:L18)/V18)</f>
        <v>0.59375</v>
      </c>
      <c r="N18" s="59">
        <v>3</v>
      </c>
      <c r="O18" s="6">
        <f>IF(N18=0,,IF(N18&gt;10,,11-(N18)))</f>
        <v>8</v>
      </c>
      <c r="Q18" s="60">
        <f>J18+O18</f>
        <v>18</v>
      </c>
      <c r="R18" s="61">
        <v>2</v>
      </c>
      <c r="S18" s="8" t="str">
        <f>IF(OR(R18&gt;10,R18=0),"-",IF(AND(H18&gt;=0.55,M18&gt;=0.55),"Q2",IF(OR(H18&gt;=0.55,M18&gt;=0.55),"Q1","-")))</f>
        <v>Q2</v>
      </c>
      <c r="T18" s="62">
        <f>IFERROR(AVERAGE(H18,M18),0)</f>
        <v>0.61278409090909092</v>
      </c>
      <c r="U18" s="63">
        <v>110</v>
      </c>
      <c r="V18" s="63">
        <v>120</v>
      </c>
    </row>
    <row r="19" spans="2:22" ht="19" x14ac:dyDescent="0.2">
      <c r="B19" s="66">
        <v>11</v>
      </c>
      <c r="C19" s="87" t="s">
        <v>48</v>
      </c>
      <c r="D19" s="87" t="s">
        <v>94</v>
      </c>
      <c r="E19" s="87" t="s">
        <v>7</v>
      </c>
      <c r="F19" s="57">
        <v>67.5</v>
      </c>
      <c r="G19" s="57">
        <f>6+6.5*2+6*2+6.5*2+7+6.5*3</f>
        <v>70.5</v>
      </c>
      <c r="H19" s="58">
        <f>IF(F19=0,0,AVERAGE(F19:G19)/U19)</f>
        <v>0.62727272727272732</v>
      </c>
      <c r="I19" s="59">
        <v>3</v>
      </c>
      <c r="J19" s="6">
        <f>IF(I19=0,,IF(I19&gt;10,,11-(I19)))</f>
        <v>8</v>
      </c>
      <c r="K19" s="57">
        <v>72.5</v>
      </c>
      <c r="L19" s="57">
        <v>67.5</v>
      </c>
      <c r="M19" s="58">
        <f>IF(K19=0,0,AVERAGE(K19:L19)/V19)</f>
        <v>0.58333333333333337</v>
      </c>
      <c r="N19" s="59">
        <v>4</v>
      </c>
      <c r="O19" s="6">
        <f>IF(N19=0,,IF(N19&gt;10,,11-(N19)))</f>
        <v>7</v>
      </c>
      <c r="Q19" s="60">
        <f>J19+O19</f>
        <v>15</v>
      </c>
      <c r="R19" s="61">
        <v>4</v>
      </c>
      <c r="S19" s="8" t="str">
        <f>IF(OR(R19&gt;10,R19=0),"-",IF(AND(H19&gt;=0.55,M19&gt;=0.55),"Q2",IF(OR(H19&gt;=0.55,M19&gt;=0.55),"Q1","-")))</f>
        <v>Q2</v>
      </c>
      <c r="T19" s="62">
        <f>IFERROR(AVERAGE(H19,M19),0)</f>
        <v>0.60530303030303034</v>
      </c>
      <c r="U19" s="63">
        <v>110</v>
      </c>
      <c r="V19" s="63">
        <v>120</v>
      </c>
    </row>
    <row r="20" spans="2:22" ht="19" x14ac:dyDescent="0.2">
      <c r="B20" s="66">
        <v>16</v>
      </c>
      <c r="C20" s="87" t="s">
        <v>48</v>
      </c>
      <c r="D20" s="87" t="s">
        <v>101</v>
      </c>
      <c r="E20" s="87" t="s">
        <v>7</v>
      </c>
      <c r="F20" s="57">
        <v>62.5</v>
      </c>
      <c r="G20" s="57">
        <f>7*2+6.5+7*2+6.5+6+6.5+6+6.5+7</f>
        <v>73</v>
      </c>
      <c r="H20" s="58">
        <f>IF(F20=0,0,AVERAGE(F20:G20)/U20)</f>
        <v>0.61590909090909096</v>
      </c>
      <c r="I20" s="59">
        <v>4</v>
      </c>
      <c r="J20" s="6">
        <f>IF(I20=0,,IF(I20&gt;10,,11-(I20)))</f>
        <v>7</v>
      </c>
      <c r="K20" s="57">
        <v>81</v>
      </c>
      <c r="L20" s="57">
        <v>69</v>
      </c>
      <c r="M20" s="58">
        <f>IF(K20=0,0,AVERAGE(K20:L20)/V20)</f>
        <v>0.625</v>
      </c>
      <c r="N20" s="59">
        <v>2</v>
      </c>
      <c r="O20" s="6">
        <f>IF(N20=0,,IF(N20&gt;10,,11-(N20)))</f>
        <v>9</v>
      </c>
      <c r="Q20" s="60">
        <f>J20+O20</f>
        <v>16</v>
      </c>
      <c r="R20" s="61">
        <v>3</v>
      </c>
      <c r="S20" s="8" t="str">
        <f>IF(OR(R20&gt;10,R20=0),"-",IF(AND(H20&gt;=0.55,M20&gt;=0.55),"Q2",IF(OR(H20&gt;=0.55,M20&gt;=0.55),"Q1","-")))</f>
        <v>Q2</v>
      </c>
      <c r="T20" s="62">
        <f>IFERROR(AVERAGE(H20,M20),0)</f>
        <v>0.62045454545454548</v>
      </c>
      <c r="U20" s="63">
        <v>110</v>
      </c>
      <c r="V20" s="63">
        <v>120</v>
      </c>
    </row>
    <row r="21" spans="2:22" ht="19" x14ac:dyDescent="0.2">
      <c r="B21" s="66">
        <v>15</v>
      </c>
      <c r="C21" s="87" t="s">
        <v>99</v>
      </c>
      <c r="D21" s="87" t="s">
        <v>100</v>
      </c>
      <c r="E21" s="87" t="s">
        <v>102</v>
      </c>
      <c r="F21" s="57">
        <v>63</v>
      </c>
      <c r="G21" s="57">
        <v>60</v>
      </c>
      <c r="H21" s="58">
        <f>IF(F21=0,0,AVERAGE(F21:G21)/U21)</f>
        <v>0.55909090909090908</v>
      </c>
      <c r="I21" s="59">
        <v>5</v>
      </c>
      <c r="J21" s="6">
        <f>IF(I21=0,,IF(I21&gt;10,,11-(I21)))</f>
        <v>6</v>
      </c>
      <c r="K21" s="57">
        <v>58.5</v>
      </c>
      <c r="L21" s="57">
        <v>53</v>
      </c>
      <c r="M21" s="58">
        <f>IF(K21=0,0,AVERAGE(K21:L21)/V21)</f>
        <v>0.46458333333333335</v>
      </c>
      <c r="N21" s="59">
        <v>5</v>
      </c>
      <c r="O21" s="6">
        <f>IF(N21=0,,IF(N21&gt;10,,11-(N21)))</f>
        <v>6</v>
      </c>
      <c r="Q21" s="60">
        <f>J21+O21</f>
        <v>12</v>
      </c>
      <c r="R21" s="61">
        <v>5</v>
      </c>
      <c r="S21" s="8" t="str">
        <f>IF(OR(R21&gt;10,R21=0),"-",IF(AND(H21&gt;=0.55,M21&gt;=0.55),"Q2",IF(OR(H21&gt;=0.55,M21&gt;=0.55),"Q1","-")))</f>
        <v>Q1</v>
      </c>
      <c r="T21" s="62">
        <f>IFERROR(AVERAGE(H21,M21),0)</f>
        <v>0.51183712121212122</v>
      </c>
      <c r="U21" s="63">
        <v>110</v>
      </c>
      <c r="V21" s="63">
        <v>120</v>
      </c>
    </row>
    <row r="22" spans="2:22" ht="19" x14ac:dyDescent="0.2">
      <c r="B22" s="66"/>
      <c r="C22" s="87"/>
      <c r="D22" s="87"/>
      <c r="E22" s="87"/>
      <c r="F22" s="57"/>
      <c r="G22" s="57"/>
      <c r="H22" s="58">
        <f t="shared" ref="H22" si="21">IF(F22=0,0,AVERAGE(F22:G22)/U22)</f>
        <v>0</v>
      </c>
      <c r="I22" s="59"/>
      <c r="J22" s="6">
        <f t="shared" ref="J22" si="22">IF(I22=0,,IF(I22&gt;10,,11-(I22)))</f>
        <v>0</v>
      </c>
      <c r="K22" s="57"/>
      <c r="L22" s="57"/>
      <c r="M22" s="58">
        <f t="shared" ref="M22" si="23">IF(K22=0,0,AVERAGE(K22:L22)/V22)</f>
        <v>0</v>
      </c>
      <c r="N22" s="59"/>
      <c r="O22" s="6">
        <f t="shared" ref="O22" si="24">IF(N22=0,,IF(N22&gt;10,,11-(N22)))</f>
        <v>0</v>
      </c>
      <c r="Q22" s="60">
        <f t="shared" ref="Q22" si="25">J22+O22</f>
        <v>0</v>
      </c>
      <c r="R22" s="61"/>
      <c r="S22" s="8" t="str">
        <f t="shared" ref="S22" si="26">IF(OR(R22&gt;10,R22=0),"-",IF(AND(H22&gt;=0.55,M22&gt;=0.55),"Q2",IF(OR(H22&gt;=0.55,M22&gt;=0.55),"Q1","-")))</f>
        <v>-</v>
      </c>
      <c r="T22" s="62">
        <f t="shared" ref="T22" si="27">IFERROR(AVERAGE(H22,M22),0)</f>
        <v>0</v>
      </c>
      <c r="U22" s="63">
        <v>110</v>
      </c>
      <c r="V22" s="63">
        <v>120</v>
      </c>
    </row>
    <row r="23" spans="2:22" ht="18" x14ac:dyDescent="0.2">
      <c r="B23" s="52"/>
      <c r="C23" s="53" t="s">
        <v>72</v>
      </c>
      <c r="D23" s="54" t="s">
        <v>73</v>
      </c>
      <c r="E23" s="55"/>
      <c r="F23" s="69"/>
      <c r="G23" s="70"/>
      <c r="H23" s="69" t="s">
        <v>45</v>
      </c>
      <c r="I23" s="70"/>
      <c r="J23" s="71"/>
      <c r="K23" s="69"/>
      <c r="L23" s="70"/>
      <c r="M23" s="70"/>
      <c r="N23" s="70"/>
      <c r="O23" s="71"/>
      <c r="Q23" s="72"/>
      <c r="R23" s="73"/>
      <c r="S23" s="24"/>
      <c r="T23" s="56"/>
    </row>
    <row r="24" spans="2:22" ht="19" x14ac:dyDescent="0.2">
      <c r="B24" s="66">
        <v>17</v>
      </c>
      <c r="C24" s="87" t="s">
        <v>103</v>
      </c>
      <c r="D24" s="87" t="s">
        <v>104</v>
      </c>
      <c r="E24" s="87" t="s">
        <v>8</v>
      </c>
      <c r="F24" s="57">
        <v>77</v>
      </c>
      <c r="G24" s="57">
        <f>8*6+7.5+8+7.5+8*2</f>
        <v>87</v>
      </c>
      <c r="H24" s="58">
        <f t="shared" ref="H24:H29" si="28">IF(F24=0,0,AVERAGE(F24:G24)/U24)</f>
        <v>0.74545454545454548</v>
      </c>
      <c r="I24" s="59">
        <v>1</v>
      </c>
      <c r="J24" s="6">
        <v>10</v>
      </c>
      <c r="K24" s="57">
        <v>84</v>
      </c>
      <c r="L24" s="57">
        <v>68.5</v>
      </c>
      <c r="M24" s="58">
        <f t="shared" ref="M24:M29" si="29">IF(K24=0,0,AVERAGE(K24:L24)/V24)</f>
        <v>0.63541666666666663</v>
      </c>
      <c r="N24" s="59">
        <v>1</v>
      </c>
      <c r="O24" s="6">
        <f t="shared" ref="O24:O29" si="30">IF(N24=0,,IF(N24&gt;10,,11-(N24)))</f>
        <v>10</v>
      </c>
      <c r="Q24" s="60">
        <f t="shared" ref="Q24:Q29" si="31">J24+O24</f>
        <v>20</v>
      </c>
      <c r="R24" s="61">
        <v>1</v>
      </c>
      <c r="S24" s="8" t="str">
        <f t="shared" ref="S24:S29" si="32">IF(OR(R24&gt;10,R24=0),"-",IF(AND(H24&gt;=0.55,M24&gt;=0.55),"Q2",IF(OR(H24&gt;=0.55,M24&gt;=0.55),"Q1","-")))</f>
        <v>Q2</v>
      </c>
      <c r="T24" s="62">
        <f t="shared" ref="T24:T29" si="33">IFERROR(AVERAGE(H24,M24),0)</f>
        <v>0.69043560606060606</v>
      </c>
      <c r="U24" s="63">
        <v>110</v>
      </c>
      <c r="V24" s="63">
        <v>120</v>
      </c>
    </row>
    <row r="25" spans="2:22" ht="19" x14ac:dyDescent="0.2">
      <c r="B25" s="66">
        <v>20</v>
      </c>
      <c r="C25" s="116" t="s">
        <v>225</v>
      </c>
      <c r="D25" s="87" t="s">
        <v>108</v>
      </c>
      <c r="E25" s="87" t="s">
        <v>67</v>
      </c>
      <c r="F25" s="57">
        <v>71</v>
      </c>
      <c r="G25" s="57">
        <f>7*2+6.5+7*3+6*2+5.5+6*2-4</f>
        <v>67</v>
      </c>
      <c r="H25" s="58">
        <f t="shared" si="28"/>
        <v>0.62727272727272732</v>
      </c>
      <c r="I25" s="59">
        <v>3</v>
      </c>
      <c r="J25" s="6">
        <v>8</v>
      </c>
      <c r="K25" s="57">
        <v>80.5</v>
      </c>
      <c r="L25" s="57">
        <f>6.5+7+6+6.5*2+5.5+6*2+6*3+7-4</f>
        <v>71</v>
      </c>
      <c r="M25" s="58">
        <f t="shared" si="29"/>
        <v>0.63124999999999998</v>
      </c>
      <c r="N25" s="59">
        <v>2</v>
      </c>
      <c r="O25" s="6">
        <f t="shared" si="30"/>
        <v>9</v>
      </c>
      <c r="Q25" s="60">
        <f t="shared" si="31"/>
        <v>17</v>
      </c>
      <c r="R25" s="61">
        <v>2</v>
      </c>
      <c r="S25" s="8" t="str">
        <f t="shared" si="32"/>
        <v>Q2</v>
      </c>
      <c r="T25" s="62">
        <f t="shared" si="33"/>
        <v>0.62926136363636365</v>
      </c>
      <c r="U25" s="63">
        <v>110</v>
      </c>
      <c r="V25" s="63">
        <v>120</v>
      </c>
    </row>
    <row r="26" spans="2:22" ht="19" x14ac:dyDescent="0.2">
      <c r="B26" s="66">
        <v>122</v>
      </c>
      <c r="C26" s="87" t="s">
        <v>111</v>
      </c>
      <c r="D26" s="87" t="s">
        <v>112</v>
      </c>
      <c r="E26" s="87" t="s">
        <v>67</v>
      </c>
      <c r="F26" s="57">
        <f>6*3+6.5*5+5+5.5+6</f>
        <v>67</v>
      </c>
      <c r="G26" s="57">
        <f>6.5*6+6*2+6.5+6*2</f>
        <v>69.5</v>
      </c>
      <c r="H26" s="58">
        <f t="shared" si="28"/>
        <v>0.62045454545454548</v>
      </c>
      <c r="I26" s="59">
        <v>4</v>
      </c>
      <c r="J26" s="6">
        <v>7</v>
      </c>
      <c r="K26" s="57">
        <v>81</v>
      </c>
      <c r="L26" s="57">
        <v>66.5</v>
      </c>
      <c r="M26" s="58">
        <f t="shared" si="29"/>
        <v>0.61458333333333337</v>
      </c>
      <c r="N26" s="59">
        <v>3</v>
      </c>
      <c r="O26" s="6">
        <f t="shared" si="30"/>
        <v>8</v>
      </c>
      <c r="Q26" s="60">
        <f t="shared" si="31"/>
        <v>15</v>
      </c>
      <c r="R26" s="61">
        <v>3</v>
      </c>
      <c r="S26" s="8" t="str">
        <f t="shared" si="32"/>
        <v>Q2</v>
      </c>
      <c r="T26" s="62">
        <f t="shared" si="33"/>
        <v>0.61751893939393943</v>
      </c>
      <c r="U26" s="63">
        <v>110</v>
      </c>
      <c r="V26" s="63">
        <v>120</v>
      </c>
    </row>
    <row r="27" spans="2:22" ht="19" x14ac:dyDescent="0.2">
      <c r="B27" s="66">
        <v>21</v>
      </c>
      <c r="C27" s="87" t="s">
        <v>109</v>
      </c>
      <c r="D27" s="87" t="s">
        <v>110</v>
      </c>
      <c r="E27" s="87" t="s">
        <v>9</v>
      </c>
      <c r="F27" s="57">
        <v>61</v>
      </c>
      <c r="G27" s="57">
        <f>6.5+7*2+6.5+7*2+6.5*2+5.5+6*2-4</f>
        <v>67.5</v>
      </c>
      <c r="H27" s="58">
        <f t="shared" si="28"/>
        <v>0.58409090909090911</v>
      </c>
      <c r="I27" s="59">
        <v>6</v>
      </c>
      <c r="J27" s="6">
        <v>5</v>
      </c>
      <c r="K27" s="57">
        <v>76</v>
      </c>
      <c r="L27" s="57">
        <v>65</v>
      </c>
      <c r="M27" s="58">
        <f t="shared" si="29"/>
        <v>0.58750000000000002</v>
      </c>
      <c r="N27" s="59">
        <v>4</v>
      </c>
      <c r="O27" s="6">
        <f t="shared" si="30"/>
        <v>7</v>
      </c>
      <c r="Q27" s="60">
        <f t="shared" si="31"/>
        <v>12</v>
      </c>
      <c r="R27" s="61"/>
      <c r="S27" s="8" t="str">
        <f t="shared" si="32"/>
        <v>-</v>
      </c>
      <c r="T27" s="62">
        <f t="shared" si="33"/>
        <v>0.58579545454545456</v>
      </c>
      <c r="U27" s="63">
        <v>110</v>
      </c>
      <c r="V27" s="63">
        <v>120</v>
      </c>
    </row>
    <row r="28" spans="2:22" ht="19" x14ac:dyDescent="0.2">
      <c r="B28" s="66">
        <v>80</v>
      </c>
      <c r="C28" s="116" t="s">
        <v>226</v>
      </c>
      <c r="D28" s="87" t="s">
        <v>106</v>
      </c>
      <c r="E28" s="87" t="s">
        <v>107</v>
      </c>
      <c r="F28" s="57">
        <v>62.5</v>
      </c>
      <c r="G28" s="57">
        <f>7+6.5*4+6*3+6*3</f>
        <v>69</v>
      </c>
      <c r="H28" s="58">
        <f t="shared" si="28"/>
        <v>0.59772727272727277</v>
      </c>
      <c r="I28" s="59">
        <v>5</v>
      </c>
      <c r="J28" s="6">
        <v>6</v>
      </c>
      <c r="K28" s="57">
        <v>71.5</v>
      </c>
      <c r="L28" s="57">
        <v>65.5</v>
      </c>
      <c r="M28" s="58">
        <f t="shared" si="29"/>
        <v>0.5708333333333333</v>
      </c>
      <c r="N28" s="59">
        <v>5</v>
      </c>
      <c r="O28" s="6">
        <f t="shared" si="30"/>
        <v>6</v>
      </c>
      <c r="Q28" s="60">
        <f t="shared" si="31"/>
        <v>12</v>
      </c>
      <c r="R28" s="61"/>
      <c r="S28" s="8" t="str">
        <f t="shared" si="32"/>
        <v>-</v>
      </c>
      <c r="T28" s="62">
        <f t="shared" si="33"/>
        <v>0.58428030303030298</v>
      </c>
      <c r="U28" s="63">
        <v>110</v>
      </c>
      <c r="V28" s="63">
        <v>120</v>
      </c>
    </row>
    <row r="29" spans="2:22" ht="19" x14ac:dyDescent="0.2">
      <c r="B29" s="66">
        <v>18</v>
      </c>
      <c r="C29" s="116" t="s">
        <v>224</v>
      </c>
      <c r="D29" s="87" t="s">
        <v>105</v>
      </c>
      <c r="E29" s="87" t="s">
        <v>8</v>
      </c>
      <c r="F29" s="57">
        <v>72.5</v>
      </c>
      <c r="G29" s="57">
        <f>7*6+6+7+6+5.5+6</f>
        <v>72.5</v>
      </c>
      <c r="H29" s="58">
        <f t="shared" si="28"/>
        <v>0.65909090909090906</v>
      </c>
      <c r="I29" s="59">
        <v>2</v>
      </c>
      <c r="J29" s="6">
        <v>9</v>
      </c>
      <c r="K29" s="57">
        <v>69</v>
      </c>
      <c r="L29" s="57">
        <v>58.5</v>
      </c>
      <c r="M29" s="58">
        <f t="shared" si="29"/>
        <v>0.53125</v>
      </c>
      <c r="N29" s="59">
        <v>6</v>
      </c>
      <c r="O29" s="6">
        <f t="shared" si="30"/>
        <v>5</v>
      </c>
      <c r="Q29" s="60">
        <f t="shared" si="31"/>
        <v>14</v>
      </c>
      <c r="R29" s="61">
        <v>4</v>
      </c>
      <c r="S29" s="8" t="str">
        <f t="shared" si="32"/>
        <v>Q1</v>
      </c>
      <c r="T29" s="62">
        <f t="shared" si="33"/>
        <v>0.59517045454545459</v>
      </c>
      <c r="U29" s="63">
        <v>110</v>
      </c>
      <c r="V29" s="63">
        <v>120</v>
      </c>
    </row>
    <row r="30" spans="2:22" ht="19.5" customHeight="1" x14ac:dyDescent="0.2">
      <c r="B30" s="66"/>
      <c r="C30" s="89"/>
      <c r="D30" s="89"/>
      <c r="E30" s="87"/>
      <c r="F30" s="57"/>
      <c r="G30" s="57"/>
      <c r="H30" s="58">
        <f t="shared" ref="H30:H31" si="34">IF(F30=0,0,AVERAGE(F30:G30)/U30)</f>
        <v>0</v>
      </c>
      <c r="I30" s="59"/>
      <c r="J30" s="6"/>
      <c r="K30" s="57"/>
      <c r="L30" s="57"/>
      <c r="M30" s="58">
        <f t="shared" ref="M30:M31" si="35">IF(K30=0,0,AVERAGE(K30:L30)/V30)</f>
        <v>0</v>
      </c>
      <c r="N30" s="59"/>
      <c r="O30" s="6">
        <f t="shared" ref="O30:O31" si="36">IF(N30=0,,IF(N30&gt;10,,11-(N30)))</f>
        <v>0</v>
      </c>
      <c r="Q30" s="60">
        <f t="shared" ref="Q30:Q31" si="37">J30+O30</f>
        <v>0</v>
      </c>
      <c r="R30" s="61"/>
      <c r="S30" s="8" t="str">
        <f t="shared" ref="S30:S31" si="38">IF(OR(R30&gt;10,R30=0),"-",IF(AND(H30&gt;=0.55,M30&gt;=0.55),"Q2",IF(OR(H30&gt;=0.55,M30&gt;=0.55),"Q1","-")))</f>
        <v>-</v>
      </c>
      <c r="T30" s="62">
        <f t="shared" ref="T30:T31" si="39">IFERROR(AVERAGE(H30,M30),0)</f>
        <v>0</v>
      </c>
      <c r="U30" s="63">
        <v>110</v>
      </c>
      <c r="V30" s="63">
        <v>120</v>
      </c>
    </row>
    <row r="31" spans="2:22" ht="19.5" customHeight="1" x14ac:dyDescent="0.2">
      <c r="B31" s="66"/>
      <c r="C31" s="89"/>
      <c r="D31" s="89"/>
      <c r="E31" s="87"/>
      <c r="F31" s="57"/>
      <c r="G31" s="57"/>
      <c r="H31" s="58">
        <f t="shared" si="34"/>
        <v>0</v>
      </c>
      <c r="I31" s="59"/>
      <c r="J31" s="6"/>
      <c r="K31" s="57"/>
      <c r="L31" s="57"/>
      <c r="M31" s="58">
        <f t="shared" si="35"/>
        <v>0</v>
      </c>
      <c r="N31" s="59"/>
      <c r="O31" s="6">
        <f t="shared" si="36"/>
        <v>0</v>
      </c>
      <c r="Q31" s="60">
        <f t="shared" si="37"/>
        <v>0</v>
      </c>
      <c r="R31" s="61"/>
      <c r="S31" s="8" t="str">
        <f t="shared" si="38"/>
        <v>-</v>
      </c>
      <c r="T31" s="62">
        <f t="shared" si="39"/>
        <v>0</v>
      </c>
      <c r="U31" s="63">
        <v>110</v>
      </c>
      <c r="V31" s="63">
        <v>120</v>
      </c>
    </row>
    <row r="32" spans="2:22" ht="18" x14ac:dyDescent="0.2">
      <c r="B32" s="52"/>
      <c r="C32" s="53" t="s">
        <v>74</v>
      </c>
      <c r="D32" s="54" t="s">
        <v>75</v>
      </c>
      <c r="E32" s="55"/>
      <c r="F32" s="229"/>
      <c r="G32" s="230"/>
      <c r="H32" s="230"/>
      <c r="I32" s="230"/>
      <c r="J32" s="231"/>
      <c r="K32" s="229"/>
      <c r="L32" s="230"/>
      <c r="M32" s="230"/>
      <c r="N32" s="230"/>
      <c r="O32" s="231"/>
      <c r="Q32" s="232"/>
      <c r="R32" s="233"/>
      <c r="S32" s="24"/>
      <c r="T32" s="56"/>
    </row>
    <row r="33" spans="2:22" ht="19" x14ac:dyDescent="0.2">
      <c r="B33" s="82">
        <v>26</v>
      </c>
      <c r="C33" s="87" t="s">
        <v>121</v>
      </c>
      <c r="D33" s="87" t="s">
        <v>122</v>
      </c>
      <c r="E33" s="87" t="s">
        <v>92</v>
      </c>
      <c r="F33" s="57">
        <v>73.5</v>
      </c>
      <c r="G33" s="57">
        <f>7+7.5+7*4+6.5*2+6+6.5*2</f>
        <v>74.5</v>
      </c>
      <c r="H33" s="58">
        <f t="shared" ref="H33:H39" si="40">IF(F33=0,0,AVERAGE(F33:G33)/U33)</f>
        <v>0.67272727272727273</v>
      </c>
      <c r="I33" s="59">
        <v>2</v>
      </c>
      <c r="J33" s="6">
        <v>9</v>
      </c>
      <c r="K33" s="57">
        <v>87</v>
      </c>
      <c r="L33" s="57">
        <v>93</v>
      </c>
      <c r="M33" s="58">
        <f t="shared" ref="M33:M39" si="41">IF(K33=0,0,AVERAGE(K33:L33)/V33)</f>
        <v>0.75</v>
      </c>
      <c r="N33" s="59">
        <v>1</v>
      </c>
      <c r="O33" s="6">
        <f t="shared" ref="O33:O39" si="42">IF(N33=0,,IF(N33&gt;10,,11-(N33)))</f>
        <v>10</v>
      </c>
      <c r="Q33" s="60">
        <f t="shared" ref="Q33:Q39" si="43">J33+O33</f>
        <v>19</v>
      </c>
      <c r="R33" s="61">
        <v>1</v>
      </c>
      <c r="S33" s="8"/>
      <c r="T33" s="62">
        <f t="shared" ref="T33:T39" si="44">IFERROR(AVERAGE(H33,M33),0)</f>
        <v>0.71136363636363642</v>
      </c>
      <c r="U33" s="63">
        <v>110</v>
      </c>
      <c r="V33" s="63">
        <v>120</v>
      </c>
    </row>
    <row r="34" spans="2:22" ht="19" x14ac:dyDescent="0.2">
      <c r="B34" s="82">
        <v>124</v>
      </c>
      <c r="C34" s="87" t="s">
        <v>118</v>
      </c>
      <c r="D34" s="87" t="s">
        <v>119</v>
      </c>
      <c r="E34" s="87" t="s">
        <v>8</v>
      </c>
      <c r="F34" s="57">
        <v>67.5</v>
      </c>
      <c r="G34" s="57">
        <f>5.5+6.5*2+6*2+6.5+6*3+6.5+6</f>
        <v>67.5</v>
      </c>
      <c r="H34" s="58">
        <f t="shared" si="40"/>
        <v>0.61363636363636365</v>
      </c>
      <c r="I34" s="59">
        <v>4</v>
      </c>
      <c r="J34" s="6">
        <v>7</v>
      </c>
      <c r="K34" s="57">
        <v>82</v>
      </c>
      <c r="L34" s="57">
        <v>84</v>
      </c>
      <c r="M34" s="58">
        <f t="shared" si="41"/>
        <v>0.69166666666666665</v>
      </c>
      <c r="N34" s="59">
        <v>2</v>
      </c>
      <c r="O34" s="6">
        <f t="shared" si="42"/>
        <v>9</v>
      </c>
      <c r="Q34" s="60">
        <f t="shared" si="43"/>
        <v>16</v>
      </c>
      <c r="R34" s="61">
        <v>3</v>
      </c>
      <c r="S34" s="8"/>
      <c r="T34" s="62">
        <f t="shared" si="44"/>
        <v>0.65265151515151509</v>
      </c>
      <c r="U34" s="63">
        <v>110</v>
      </c>
      <c r="V34" s="63">
        <v>120</v>
      </c>
    </row>
    <row r="35" spans="2:22" ht="19" x14ac:dyDescent="0.2">
      <c r="B35" s="82">
        <v>29</v>
      </c>
      <c r="C35" s="87" t="s">
        <v>50</v>
      </c>
      <c r="D35" s="87" t="s">
        <v>126</v>
      </c>
      <c r="E35" s="87" t="s">
        <v>92</v>
      </c>
      <c r="F35" s="57">
        <v>64</v>
      </c>
      <c r="G35" s="57">
        <f>7.5*5+6.5+6*2+6*3-12</f>
        <v>62</v>
      </c>
      <c r="H35" s="58">
        <f t="shared" si="40"/>
        <v>0.57272727272727275</v>
      </c>
      <c r="I35" s="59">
        <v>6</v>
      </c>
      <c r="J35" s="6">
        <v>5</v>
      </c>
      <c r="K35" s="57">
        <v>79</v>
      </c>
      <c r="L35" s="57">
        <v>77</v>
      </c>
      <c r="M35" s="58">
        <f t="shared" si="41"/>
        <v>0.65</v>
      </c>
      <c r="N35" s="59">
        <v>3</v>
      </c>
      <c r="O35" s="6">
        <f t="shared" si="42"/>
        <v>8</v>
      </c>
      <c r="Q35" s="60">
        <f t="shared" si="43"/>
        <v>13</v>
      </c>
      <c r="R35" s="61"/>
      <c r="S35" s="8"/>
      <c r="T35" s="62">
        <f t="shared" si="44"/>
        <v>0.61136363636363633</v>
      </c>
      <c r="U35" s="63">
        <v>110</v>
      </c>
      <c r="V35" s="63">
        <v>120</v>
      </c>
    </row>
    <row r="36" spans="2:22" ht="19" x14ac:dyDescent="0.2">
      <c r="B36" s="82">
        <v>25</v>
      </c>
      <c r="C36" s="116" t="s">
        <v>230</v>
      </c>
      <c r="D36" s="87" t="s">
        <v>120</v>
      </c>
      <c r="E36" s="87" t="s">
        <v>92</v>
      </c>
      <c r="F36" s="57">
        <v>74.5</v>
      </c>
      <c r="G36" s="57">
        <f>7.5+7+7.5+7*5+6+6.5*2</f>
        <v>76</v>
      </c>
      <c r="H36" s="58">
        <f t="shared" si="40"/>
        <v>0.68409090909090908</v>
      </c>
      <c r="I36" s="59">
        <v>1</v>
      </c>
      <c r="J36" s="6">
        <v>10</v>
      </c>
      <c r="K36" s="57">
        <v>73.5</v>
      </c>
      <c r="L36" s="57">
        <v>76.5</v>
      </c>
      <c r="M36" s="58">
        <f t="shared" si="41"/>
        <v>0.625</v>
      </c>
      <c r="N36" s="59">
        <v>4</v>
      </c>
      <c r="O36" s="6">
        <f t="shared" si="42"/>
        <v>7</v>
      </c>
      <c r="Q36" s="60">
        <f t="shared" si="43"/>
        <v>17</v>
      </c>
      <c r="R36" s="61">
        <v>2</v>
      </c>
      <c r="S36" s="8"/>
      <c r="T36" s="62">
        <f t="shared" si="44"/>
        <v>0.65454545454545454</v>
      </c>
      <c r="U36" s="63">
        <v>110</v>
      </c>
      <c r="V36" s="63">
        <v>120</v>
      </c>
    </row>
    <row r="37" spans="2:22" ht="19" x14ac:dyDescent="0.2">
      <c r="B37" s="82">
        <v>23</v>
      </c>
      <c r="C37" s="87" t="s">
        <v>116</v>
      </c>
      <c r="D37" s="87" t="s">
        <v>117</v>
      </c>
      <c r="E37" s="87" t="s">
        <v>9</v>
      </c>
      <c r="F37" s="57">
        <v>61</v>
      </c>
      <c r="G37" s="57">
        <f>6.5*5+6*3+6.5+6+6.5-4</f>
        <v>65.5</v>
      </c>
      <c r="H37" s="58">
        <f t="shared" si="40"/>
        <v>0.57499999999999996</v>
      </c>
      <c r="I37" s="59">
        <v>5</v>
      </c>
      <c r="J37" s="6">
        <v>6</v>
      </c>
      <c r="K37" s="57">
        <v>72</v>
      </c>
      <c r="L37" s="57">
        <v>69.5</v>
      </c>
      <c r="M37" s="58">
        <f t="shared" si="41"/>
        <v>0.58958333333333335</v>
      </c>
      <c r="N37" s="59">
        <v>5</v>
      </c>
      <c r="O37" s="6">
        <f t="shared" si="42"/>
        <v>6</v>
      </c>
      <c r="Q37" s="60">
        <f t="shared" si="43"/>
        <v>12</v>
      </c>
      <c r="R37" s="61"/>
      <c r="S37" s="8"/>
      <c r="T37" s="62">
        <f t="shared" si="44"/>
        <v>0.58229166666666665</v>
      </c>
      <c r="U37" s="63">
        <v>110</v>
      </c>
      <c r="V37" s="63">
        <v>120</v>
      </c>
    </row>
    <row r="38" spans="2:22" ht="19" x14ac:dyDescent="0.2">
      <c r="B38" s="82">
        <v>28</v>
      </c>
      <c r="C38" s="87" t="s">
        <v>124</v>
      </c>
      <c r="D38" s="87" t="s">
        <v>125</v>
      </c>
      <c r="E38" s="87" t="s">
        <v>92</v>
      </c>
      <c r="F38" s="57">
        <v>66</v>
      </c>
      <c r="G38" s="57">
        <f>6.5*5+6*3+6+6.5*2</f>
        <v>69.5</v>
      </c>
      <c r="H38" s="58">
        <f t="shared" si="40"/>
        <v>0.61590909090909096</v>
      </c>
      <c r="I38" s="59">
        <v>3</v>
      </c>
      <c r="J38" s="6">
        <v>8</v>
      </c>
      <c r="K38" s="57">
        <v>64.5</v>
      </c>
      <c r="L38" s="57">
        <v>67.5</v>
      </c>
      <c r="M38" s="58">
        <f t="shared" si="41"/>
        <v>0.55000000000000004</v>
      </c>
      <c r="N38" s="59">
        <v>6</v>
      </c>
      <c r="O38" s="6">
        <f t="shared" si="42"/>
        <v>5</v>
      </c>
      <c r="Q38" s="60">
        <f t="shared" si="43"/>
        <v>13</v>
      </c>
      <c r="R38" s="61"/>
      <c r="S38" s="8"/>
      <c r="T38" s="62">
        <f t="shared" si="44"/>
        <v>0.5829545454545455</v>
      </c>
      <c r="U38" s="63">
        <v>110</v>
      </c>
      <c r="V38" s="63">
        <v>120</v>
      </c>
    </row>
    <row r="39" spans="2:22" ht="19" x14ac:dyDescent="0.2">
      <c r="B39" s="82">
        <v>27</v>
      </c>
      <c r="C39" s="116" t="s">
        <v>231</v>
      </c>
      <c r="D39" s="87" t="s">
        <v>123</v>
      </c>
      <c r="E39" s="87" t="s">
        <v>92</v>
      </c>
      <c r="F39" s="57" t="s">
        <v>214</v>
      </c>
      <c r="G39" s="57"/>
      <c r="H39" s="58" t="e">
        <f t="shared" si="40"/>
        <v>#DIV/0!</v>
      </c>
      <c r="I39" s="59"/>
      <c r="J39" s="6"/>
      <c r="K39" s="57"/>
      <c r="L39" s="57"/>
      <c r="M39" s="58">
        <f t="shared" si="41"/>
        <v>0</v>
      </c>
      <c r="N39" s="59"/>
      <c r="O39" s="6">
        <f t="shared" si="42"/>
        <v>0</v>
      </c>
      <c r="Q39" s="60">
        <f t="shared" si="43"/>
        <v>0</v>
      </c>
      <c r="R39" s="61"/>
      <c r="S39" s="8"/>
      <c r="T39" s="62">
        <f t="shared" si="44"/>
        <v>0</v>
      </c>
      <c r="U39" s="63">
        <v>110</v>
      </c>
      <c r="V39" s="63">
        <v>120</v>
      </c>
    </row>
    <row r="40" spans="2:22" ht="19" x14ac:dyDescent="0.2">
      <c r="B40" s="82"/>
      <c r="C40" s="83"/>
      <c r="D40" s="83"/>
      <c r="E40" s="83"/>
      <c r="F40" s="57"/>
      <c r="G40" s="57"/>
      <c r="H40" s="58">
        <f t="shared" ref="H40" si="45">IF(F40=0,0,AVERAGE(F40:G40)/U40)</f>
        <v>0</v>
      </c>
      <c r="I40" s="59"/>
      <c r="J40" s="6"/>
      <c r="K40" s="57"/>
      <c r="L40" s="57"/>
      <c r="M40" s="58">
        <f t="shared" ref="M40" si="46">IF(K40=0,0,AVERAGE(K40:L40)/V40)</f>
        <v>0</v>
      </c>
      <c r="N40" s="59"/>
      <c r="O40" s="6">
        <f t="shared" ref="O40" si="47">IF(N40=0,,IF(N40&gt;10,,11-(N40)))</f>
        <v>0</v>
      </c>
      <c r="Q40" s="60">
        <f t="shared" ref="Q40" si="48">J40+O40</f>
        <v>0</v>
      </c>
      <c r="R40" s="61"/>
      <c r="S40" s="8"/>
      <c r="T40" s="62">
        <f t="shared" ref="T40" si="49">IFERROR(AVERAGE(H40,M40),0)</f>
        <v>0</v>
      </c>
      <c r="U40" s="63">
        <v>110</v>
      </c>
      <c r="V40" s="63">
        <v>120</v>
      </c>
    </row>
    <row r="41" spans="2:22" ht="18" x14ac:dyDescent="0.2">
      <c r="B41" s="52"/>
      <c r="C41" s="53" t="s">
        <v>76</v>
      </c>
      <c r="D41" s="54" t="s">
        <v>78</v>
      </c>
      <c r="E41" s="55"/>
      <c r="F41" s="229"/>
      <c r="G41" s="230"/>
      <c r="H41" s="230"/>
      <c r="I41" s="230"/>
      <c r="J41" s="231"/>
      <c r="K41" s="229"/>
      <c r="L41" s="230"/>
      <c r="M41" s="230"/>
      <c r="N41" s="230"/>
      <c r="O41" s="231"/>
      <c r="Q41" s="232"/>
      <c r="R41" s="233"/>
      <c r="S41" s="24"/>
      <c r="T41" s="56"/>
    </row>
    <row r="42" spans="2:22" ht="19" x14ac:dyDescent="0.2">
      <c r="B42" s="82">
        <v>130</v>
      </c>
      <c r="C42" s="87" t="s">
        <v>121</v>
      </c>
      <c r="D42" s="87" t="s">
        <v>127</v>
      </c>
      <c r="E42" s="87" t="s">
        <v>9</v>
      </c>
      <c r="F42" s="57" t="s">
        <v>24</v>
      </c>
      <c r="G42" s="57"/>
      <c r="H42" s="58" t="e">
        <f t="shared" ref="H42:H44" si="50">IF(F42=0,0,AVERAGE(F42:G42)/U42)</f>
        <v>#DIV/0!</v>
      </c>
      <c r="I42" s="59"/>
      <c r="J42" s="6"/>
      <c r="K42" s="57"/>
      <c r="L42" s="57"/>
      <c r="M42" s="58">
        <f t="shared" ref="M42:M44" si="51">IF(K42=0,0,AVERAGE(K42:L42)/V42)</f>
        <v>0</v>
      </c>
      <c r="N42" s="59"/>
      <c r="O42" s="6">
        <f t="shared" ref="O42:O44" si="52">IF(N42=0,,IF(N42&gt;10,,11-(N42)))</f>
        <v>0</v>
      </c>
      <c r="Q42" s="60">
        <f t="shared" ref="Q42:Q44" si="53">J42+O42</f>
        <v>0</v>
      </c>
      <c r="R42" s="61"/>
      <c r="S42" s="8"/>
      <c r="T42" s="62">
        <f t="shared" ref="T42:T44" si="54">IFERROR(AVERAGE(H42,M42),0)</f>
        <v>0</v>
      </c>
      <c r="U42" s="63">
        <v>110</v>
      </c>
      <c r="V42" s="63">
        <v>120</v>
      </c>
    </row>
    <row r="43" spans="2:22" ht="19" x14ac:dyDescent="0.2">
      <c r="B43" s="82">
        <v>31</v>
      </c>
      <c r="C43" s="87" t="s">
        <v>128</v>
      </c>
      <c r="D43" s="87" t="s">
        <v>129</v>
      </c>
      <c r="E43" s="87" t="s">
        <v>130</v>
      </c>
      <c r="F43" s="57">
        <f>6.5+7+6+6.5*2+5.5*3+6*3-4</f>
        <v>63</v>
      </c>
      <c r="G43" s="57"/>
      <c r="H43" s="58">
        <f t="shared" si="50"/>
        <v>0.57272727272727275</v>
      </c>
      <c r="I43" s="59">
        <v>1</v>
      </c>
      <c r="J43" s="6">
        <v>10</v>
      </c>
      <c r="K43" s="57">
        <f>7+8+7+7.5+7*2+6+6.5*4+6</f>
        <v>81.5</v>
      </c>
      <c r="L43" s="57"/>
      <c r="M43" s="58">
        <f t="shared" si="51"/>
        <v>0.6791666666666667</v>
      </c>
      <c r="N43" s="59">
        <v>1</v>
      </c>
      <c r="O43" s="6">
        <f t="shared" si="52"/>
        <v>10</v>
      </c>
      <c r="Q43" s="60">
        <f t="shared" si="53"/>
        <v>20</v>
      </c>
      <c r="R43" s="61">
        <v>1</v>
      </c>
      <c r="S43" s="8"/>
      <c r="T43" s="62">
        <f t="shared" si="54"/>
        <v>0.62594696969696972</v>
      </c>
      <c r="U43" s="63">
        <v>110</v>
      </c>
      <c r="V43" s="63">
        <v>120</v>
      </c>
    </row>
    <row r="44" spans="2:22" ht="19" x14ac:dyDescent="0.2">
      <c r="B44" s="82"/>
      <c r="C44" s="83"/>
      <c r="D44" s="83"/>
      <c r="E44" s="83"/>
      <c r="F44" s="57"/>
      <c r="G44" s="57"/>
      <c r="H44" s="58">
        <f t="shared" si="50"/>
        <v>0</v>
      </c>
      <c r="I44" s="59"/>
      <c r="J44" s="6"/>
      <c r="K44" s="57"/>
      <c r="L44" s="57"/>
      <c r="M44" s="58">
        <f t="shared" si="51"/>
        <v>0</v>
      </c>
      <c r="N44" s="59"/>
      <c r="O44" s="6">
        <f t="shared" si="52"/>
        <v>0</v>
      </c>
      <c r="Q44" s="60">
        <f t="shared" si="53"/>
        <v>0</v>
      </c>
      <c r="R44" s="61"/>
      <c r="S44" s="8"/>
      <c r="T44" s="62">
        <f t="shared" si="54"/>
        <v>0</v>
      </c>
      <c r="U44" s="63">
        <v>110</v>
      </c>
      <c r="V44" s="63">
        <v>120</v>
      </c>
    </row>
    <row r="45" spans="2:22" ht="18" x14ac:dyDescent="0.2">
      <c r="B45" s="52"/>
      <c r="C45" s="53" t="s">
        <v>44</v>
      </c>
      <c r="D45" s="54" t="s">
        <v>79</v>
      </c>
      <c r="E45" s="55"/>
      <c r="F45" s="229"/>
      <c r="G45" s="230"/>
      <c r="H45" s="230"/>
      <c r="I45" s="230"/>
      <c r="J45" s="231"/>
      <c r="K45" s="229"/>
      <c r="L45" s="230"/>
      <c r="M45" s="230"/>
      <c r="N45" s="230"/>
      <c r="O45" s="231"/>
      <c r="Q45" s="232"/>
      <c r="R45" s="233"/>
      <c r="S45" s="24"/>
      <c r="T45" s="56"/>
    </row>
    <row r="46" spans="2:22" ht="19" x14ac:dyDescent="0.2">
      <c r="B46" s="82" t="s">
        <v>215</v>
      </c>
      <c r="C46" s="93" t="s">
        <v>239</v>
      </c>
      <c r="D46" s="93" t="s">
        <v>131</v>
      </c>
      <c r="E46" s="93" t="s">
        <v>132</v>
      </c>
      <c r="F46" s="57">
        <v>84</v>
      </c>
      <c r="G46" s="57">
        <f>6.5+7*4+6.5*3+6.5*3</f>
        <v>73.5</v>
      </c>
      <c r="H46" s="58">
        <f t="shared" ref="H46:H50" si="55">IF(F46=0,0,AVERAGE(F46:G46)/U46)</f>
        <v>0.71590909090909094</v>
      </c>
      <c r="I46" s="59"/>
      <c r="J46" s="6"/>
      <c r="K46" s="57" t="s">
        <v>214</v>
      </c>
      <c r="L46" s="57"/>
      <c r="M46" s="58" t="e">
        <f t="shared" ref="M46:M50" si="56">IF(K46=0,0,AVERAGE(K46:L46)/V46)</f>
        <v>#DIV/0!</v>
      </c>
      <c r="N46" s="59"/>
      <c r="O46" s="6">
        <f t="shared" ref="O46:O50" si="57">IF(N46=0,,IF(N46&gt;10,,11-(N46)))</f>
        <v>0</v>
      </c>
      <c r="Q46" s="60">
        <f t="shared" ref="Q46:Q50" si="58">J46+O46</f>
        <v>0</v>
      </c>
      <c r="R46" s="61" t="s">
        <v>223</v>
      </c>
      <c r="S46" s="8"/>
      <c r="T46" s="62">
        <f t="shared" ref="T46:T50" si="59">IFERROR(AVERAGE(H46,M46),0)</f>
        <v>0</v>
      </c>
      <c r="U46" s="63">
        <v>110</v>
      </c>
      <c r="V46" s="63">
        <v>120</v>
      </c>
    </row>
    <row r="47" spans="2:22" ht="19" x14ac:dyDescent="0.2">
      <c r="B47" s="82">
        <v>34</v>
      </c>
      <c r="C47" s="88" t="s">
        <v>137</v>
      </c>
      <c r="D47" s="88" t="s">
        <v>133</v>
      </c>
      <c r="E47" s="88" t="s">
        <v>132</v>
      </c>
      <c r="F47" s="57">
        <v>80.5</v>
      </c>
      <c r="G47" s="57">
        <v>69</v>
      </c>
      <c r="H47" s="58">
        <f t="shared" si="55"/>
        <v>0.67954545454545456</v>
      </c>
      <c r="I47" s="59">
        <v>1</v>
      </c>
      <c r="J47" s="6">
        <v>10</v>
      </c>
      <c r="K47" s="57" t="s">
        <v>214</v>
      </c>
      <c r="L47" s="57"/>
      <c r="M47" s="58" t="e">
        <f t="shared" si="56"/>
        <v>#DIV/0!</v>
      </c>
      <c r="N47" s="59"/>
      <c r="O47" s="6">
        <f t="shared" si="57"/>
        <v>0</v>
      </c>
      <c r="Q47" s="60">
        <f t="shared" si="58"/>
        <v>10</v>
      </c>
      <c r="R47" s="61">
        <v>2</v>
      </c>
      <c r="S47" s="8"/>
      <c r="T47" s="62">
        <f t="shared" si="59"/>
        <v>0</v>
      </c>
      <c r="U47" s="63">
        <v>110</v>
      </c>
      <c r="V47" s="63">
        <v>120</v>
      </c>
    </row>
    <row r="48" spans="2:22" ht="19" x14ac:dyDescent="0.2">
      <c r="B48" s="82">
        <v>35</v>
      </c>
      <c r="C48" s="88" t="s">
        <v>209</v>
      </c>
      <c r="D48" s="88" t="s">
        <v>135</v>
      </c>
      <c r="E48" s="88" t="s">
        <v>136</v>
      </c>
      <c r="F48" s="57">
        <v>82</v>
      </c>
      <c r="G48" s="57">
        <v>66</v>
      </c>
      <c r="H48" s="58">
        <f t="shared" si="55"/>
        <v>0.67272727272727273</v>
      </c>
      <c r="I48" s="59">
        <v>2</v>
      </c>
      <c r="J48" s="6">
        <v>9</v>
      </c>
      <c r="K48" s="57">
        <f>7.5*3+8*2+5.5+6+5.5+6*3+6.5-8</f>
        <v>72</v>
      </c>
      <c r="L48" s="57">
        <f>7.5+8+7.5+7*2+7+6+6.5+7*3+7-8</f>
        <v>76.5</v>
      </c>
      <c r="M48" s="58">
        <f t="shared" si="56"/>
        <v>0.61875000000000002</v>
      </c>
      <c r="N48" s="59">
        <v>1</v>
      </c>
      <c r="O48" s="6">
        <f t="shared" si="57"/>
        <v>10</v>
      </c>
      <c r="Q48" s="60">
        <f t="shared" si="58"/>
        <v>19</v>
      </c>
      <c r="R48" s="61">
        <v>1</v>
      </c>
      <c r="S48" s="8"/>
      <c r="T48" s="62">
        <f t="shared" si="59"/>
        <v>0.64573863636363638</v>
      </c>
      <c r="U48" s="63">
        <v>110</v>
      </c>
      <c r="V48" s="63">
        <v>120</v>
      </c>
    </row>
    <row r="49" spans="2:22" ht="19" x14ac:dyDescent="0.2">
      <c r="B49" s="82">
        <v>32</v>
      </c>
      <c r="C49" s="88" t="s">
        <v>115</v>
      </c>
      <c r="D49" s="88" t="s">
        <v>113</v>
      </c>
      <c r="E49" s="88" t="s">
        <v>114</v>
      </c>
      <c r="F49" s="57">
        <v>63.5</v>
      </c>
      <c r="G49" s="57">
        <f>6.5+6*3+6.5+6+5.5+5.5+6*3</f>
        <v>66</v>
      </c>
      <c r="H49" s="58">
        <f t="shared" si="55"/>
        <v>0.58863636363636362</v>
      </c>
      <c r="I49" s="59">
        <v>3</v>
      </c>
      <c r="J49" s="6">
        <v>8</v>
      </c>
      <c r="K49" s="57">
        <v>74.5</v>
      </c>
      <c r="L49" s="57">
        <v>68</v>
      </c>
      <c r="M49" s="58">
        <f t="shared" si="56"/>
        <v>0.59375</v>
      </c>
      <c r="N49" s="59">
        <v>2</v>
      </c>
      <c r="O49" s="6">
        <f t="shared" si="57"/>
        <v>9</v>
      </c>
      <c r="Q49" s="60">
        <f t="shared" si="58"/>
        <v>17</v>
      </c>
      <c r="R49" s="61">
        <v>3</v>
      </c>
      <c r="S49" s="8"/>
      <c r="T49" s="62">
        <f t="shared" si="59"/>
        <v>0.59119318181818181</v>
      </c>
      <c r="U49" s="63">
        <v>110</v>
      </c>
      <c r="V49" s="63">
        <v>120</v>
      </c>
    </row>
    <row r="50" spans="2:22" ht="19" x14ac:dyDescent="0.2">
      <c r="B50" s="82"/>
      <c r="C50" s="83"/>
      <c r="D50" s="83"/>
      <c r="E50" s="83"/>
      <c r="F50" s="57"/>
      <c r="G50" s="57"/>
      <c r="H50" s="58">
        <f t="shared" si="55"/>
        <v>0</v>
      </c>
      <c r="I50" s="59"/>
      <c r="J50" s="6"/>
      <c r="K50" s="57"/>
      <c r="L50" s="57"/>
      <c r="M50" s="58">
        <f t="shared" si="56"/>
        <v>0</v>
      </c>
      <c r="N50" s="59"/>
      <c r="O50" s="6">
        <f t="shared" si="57"/>
        <v>0</v>
      </c>
      <c r="Q50" s="60">
        <f t="shared" si="58"/>
        <v>0</v>
      </c>
      <c r="R50" s="61"/>
      <c r="S50" s="8"/>
      <c r="T50" s="62">
        <f t="shared" si="59"/>
        <v>0</v>
      </c>
      <c r="U50" s="63">
        <v>110</v>
      </c>
      <c r="V50" s="63">
        <v>120</v>
      </c>
    </row>
    <row r="51" spans="2:22" ht="18" x14ac:dyDescent="0.2">
      <c r="B51" s="52"/>
      <c r="C51" s="53" t="s">
        <v>77</v>
      </c>
      <c r="D51" s="54" t="s">
        <v>80</v>
      </c>
      <c r="E51" s="55"/>
      <c r="F51" s="229"/>
      <c r="G51" s="230"/>
      <c r="H51" s="230"/>
      <c r="I51" s="230"/>
      <c r="J51" s="231"/>
      <c r="K51" s="229"/>
      <c r="L51" s="230"/>
      <c r="M51" s="230"/>
      <c r="N51" s="230"/>
      <c r="O51" s="231"/>
      <c r="Q51" s="232"/>
      <c r="R51" s="233"/>
      <c r="S51" s="24"/>
      <c r="T51" s="56"/>
    </row>
    <row r="52" spans="2:22" ht="19" x14ac:dyDescent="0.2">
      <c r="B52" s="82">
        <v>41</v>
      </c>
      <c r="C52" s="87" t="s">
        <v>51</v>
      </c>
      <c r="D52" s="87" t="s">
        <v>149</v>
      </c>
      <c r="E52" s="87" t="s">
        <v>7</v>
      </c>
      <c r="F52" s="57" t="s">
        <v>214</v>
      </c>
      <c r="G52" s="57"/>
      <c r="H52" s="58" t="e">
        <f t="shared" ref="H52:H59" si="60">IF(F52=0,0,AVERAGE(F52:G52)/U52)</f>
        <v>#DIV/0!</v>
      </c>
      <c r="I52" s="59"/>
      <c r="J52" s="6"/>
      <c r="K52" s="57" t="s">
        <v>214</v>
      </c>
      <c r="L52" s="57"/>
      <c r="M52" s="58" t="e">
        <f t="shared" ref="M52:M59" si="61">IF(K52=0,0,AVERAGE(K52:L52)/V52)</f>
        <v>#DIV/0!</v>
      </c>
      <c r="N52" s="59"/>
      <c r="O52" s="6">
        <f t="shared" ref="O52:O59" si="62">IF(N52=0,,IF(N52&gt;10,,11-(N52)))</f>
        <v>0</v>
      </c>
      <c r="Q52" s="60">
        <f t="shared" ref="Q52:Q59" si="63">J52+O52</f>
        <v>0</v>
      </c>
      <c r="R52" s="61"/>
      <c r="S52" s="8"/>
      <c r="T52" s="62">
        <f t="shared" ref="T52:T59" si="64">IFERROR(AVERAGE(H52,M52),0)</f>
        <v>0</v>
      </c>
      <c r="U52" s="63">
        <v>110</v>
      </c>
      <c r="V52" s="63">
        <v>120</v>
      </c>
    </row>
    <row r="53" spans="2:22" ht="19" x14ac:dyDescent="0.2">
      <c r="B53" s="82">
        <v>44</v>
      </c>
      <c r="C53" s="87" t="s">
        <v>147</v>
      </c>
      <c r="D53" s="87" t="s">
        <v>148</v>
      </c>
      <c r="E53" s="87" t="s">
        <v>7</v>
      </c>
      <c r="F53" s="57" t="s">
        <v>24</v>
      </c>
      <c r="G53" s="57"/>
      <c r="H53" s="58" t="e">
        <f t="shared" si="60"/>
        <v>#DIV/0!</v>
      </c>
      <c r="I53" s="59"/>
      <c r="J53" s="6"/>
      <c r="K53" s="57" t="s">
        <v>214</v>
      </c>
      <c r="L53" s="57"/>
      <c r="M53" s="58" t="e">
        <f t="shared" si="61"/>
        <v>#DIV/0!</v>
      </c>
      <c r="N53" s="59"/>
      <c r="O53" s="6">
        <f t="shared" si="62"/>
        <v>0</v>
      </c>
      <c r="Q53" s="60">
        <f t="shared" si="63"/>
        <v>0</v>
      </c>
      <c r="R53" s="61"/>
      <c r="S53" s="8"/>
      <c r="T53" s="62">
        <f t="shared" si="64"/>
        <v>0</v>
      </c>
      <c r="U53" s="63">
        <v>110</v>
      </c>
      <c r="V53" s="63">
        <v>120</v>
      </c>
    </row>
    <row r="54" spans="2:22" ht="19" x14ac:dyDescent="0.2">
      <c r="B54" s="82">
        <v>142</v>
      </c>
      <c r="C54" s="87" t="s">
        <v>143</v>
      </c>
      <c r="D54" s="87" t="s">
        <v>144</v>
      </c>
      <c r="E54" s="87" t="s">
        <v>7</v>
      </c>
      <c r="F54" s="57" t="s">
        <v>214</v>
      </c>
      <c r="G54" s="57"/>
      <c r="H54" s="58" t="e">
        <f t="shared" si="60"/>
        <v>#DIV/0!</v>
      </c>
      <c r="I54" s="59"/>
      <c r="J54" s="6"/>
      <c r="K54" s="57" t="s">
        <v>214</v>
      </c>
      <c r="L54" s="57"/>
      <c r="M54" s="58" t="e">
        <f t="shared" si="61"/>
        <v>#DIV/0!</v>
      </c>
      <c r="N54" s="59"/>
      <c r="O54" s="6">
        <f t="shared" si="62"/>
        <v>0</v>
      </c>
      <c r="Q54" s="60">
        <f t="shared" si="63"/>
        <v>0</v>
      </c>
      <c r="R54" s="61"/>
      <c r="S54" s="8"/>
      <c r="T54" s="62">
        <f t="shared" si="64"/>
        <v>0</v>
      </c>
      <c r="U54" s="63">
        <v>110</v>
      </c>
      <c r="V54" s="63">
        <v>120</v>
      </c>
    </row>
    <row r="55" spans="2:22" ht="19" x14ac:dyDescent="0.2">
      <c r="B55" s="82">
        <v>40</v>
      </c>
      <c r="C55" s="87" t="s">
        <v>51</v>
      </c>
      <c r="D55" s="87" t="s">
        <v>142</v>
      </c>
      <c r="E55" s="87" t="s">
        <v>7</v>
      </c>
      <c r="F55" s="57">
        <v>53.5</v>
      </c>
      <c r="G55" s="57">
        <f>5.5+5.5+5+5.5+5.5+5+5.5*2+5.5*2+6-8</f>
        <v>52</v>
      </c>
      <c r="H55" s="58">
        <f t="shared" si="60"/>
        <v>0.47954545454545455</v>
      </c>
      <c r="I55" s="59">
        <v>4</v>
      </c>
      <c r="J55" s="6">
        <v>7</v>
      </c>
      <c r="K55" s="57" t="s">
        <v>24</v>
      </c>
      <c r="L55" s="57"/>
      <c r="M55" s="58" t="e">
        <f t="shared" si="61"/>
        <v>#DIV/0!</v>
      </c>
      <c r="N55" s="59"/>
      <c r="O55" s="6">
        <f t="shared" si="62"/>
        <v>0</v>
      </c>
      <c r="Q55" s="60">
        <f t="shared" si="63"/>
        <v>7</v>
      </c>
      <c r="R55" s="61"/>
      <c r="S55" s="8"/>
      <c r="T55" s="62">
        <f t="shared" si="64"/>
        <v>0</v>
      </c>
      <c r="U55" s="63">
        <v>110</v>
      </c>
      <c r="V55" s="63">
        <v>120</v>
      </c>
    </row>
    <row r="56" spans="2:22" ht="19" x14ac:dyDescent="0.2">
      <c r="B56" s="82">
        <v>143</v>
      </c>
      <c r="C56" s="87" t="s">
        <v>145</v>
      </c>
      <c r="D56" s="87" t="s">
        <v>146</v>
      </c>
      <c r="E56" s="87" t="s">
        <v>8</v>
      </c>
      <c r="F56" s="57">
        <v>67.5</v>
      </c>
      <c r="G56" s="57">
        <f>6.5+6*4+6.5+6*2+6.5+6*2-4</f>
        <v>63.5</v>
      </c>
      <c r="H56" s="58">
        <f t="shared" si="60"/>
        <v>0.59545454545454546</v>
      </c>
      <c r="I56" s="59">
        <v>1</v>
      </c>
      <c r="J56" s="6">
        <v>10</v>
      </c>
      <c r="K56" s="57">
        <f>6.5+6+6.5+6*2+6+6.5+6+6*3+5.5-4</f>
        <v>69</v>
      </c>
      <c r="L56" s="57">
        <f>6*5+5.5+6+5.5+5*3+5-4</f>
        <v>63</v>
      </c>
      <c r="M56" s="58">
        <f t="shared" si="61"/>
        <v>0.55000000000000004</v>
      </c>
      <c r="N56" s="59">
        <v>1</v>
      </c>
      <c r="O56" s="6">
        <f t="shared" si="62"/>
        <v>10</v>
      </c>
      <c r="Q56" s="60">
        <f t="shared" si="63"/>
        <v>20</v>
      </c>
      <c r="R56" s="61">
        <v>1</v>
      </c>
      <c r="S56" s="8"/>
      <c r="T56" s="62">
        <f t="shared" si="64"/>
        <v>0.57272727272727275</v>
      </c>
      <c r="U56" s="63">
        <v>110</v>
      </c>
      <c r="V56" s="63">
        <v>120</v>
      </c>
    </row>
    <row r="57" spans="2:22" ht="19" x14ac:dyDescent="0.2">
      <c r="B57" s="82">
        <v>38</v>
      </c>
      <c r="C57" s="87" t="s">
        <v>140</v>
      </c>
      <c r="D57" s="87" t="s">
        <v>141</v>
      </c>
      <c r="E57" s="87" t="s">
        <v>130</v>
      </c>
      <c r="F57" s="57">
        <v>64</v>
      </c>
      <c r="G57" s="57">
        <f>5.5+6+5.5*3+5.5*3+5.5*3</f>
        <v>61</v>
      </c>
      <c r="H57" s="58">
        <f t="shared" si="60"/>
        <v>0.56818181818181823</v>
      </c>
      <c r="I57" s="59">
        <v>2</v>
      </c>
      <c r="J57" s="6">
        <v>9</v>
      </c>
      <c r="K57" s="57">
        <f>6*2+5+6*2+6+5+6+6+5+6+5-4</f>
        <v>64</v>
      </c>
      <c r="L57" s="57">
        <f>5*4+5.5+5*3+5*3+5-4</f>
        <v>56.5</v>
      </c>
      <c r="M57" s="58">
        <f t="shared" si="61"/>
        <v>0.50208333333333333</v>
      </c>
      <c r="N57" s="59">
        <v>2</v>
      </c>
      <c r="O57" s="6">
        <f t="shared" si="62"/>
        <v>9</v>
      </c>
      <c r="Q57" s="60">
        <f t="shared" si="63"/>
        <v>18</v>
      </c>
      <c r="R57" s="61">
        <v>2</v>
      </c>
      <c r="S57" s="8"/>
      <c r="T57" s="62">
        <f t="shared" si="64"/>
        <v>0.53513257575757578</v>
      </c>
      <c r="U57" s="63">
        <v>110</v>
      </c>
      <c r="V57" s="63">
        <v>120</v>
      </c>
    </row>
    <row r="58" spans="2:22" ht="19" x14ac:dyDescent="0.2">
      <c r="B58" s="82">
        <v>37</v>
      </c>
      <c r="C58" s="87" t="s">
        <v>138</v>
      </c>
      <c r="D58" s="87" t="s">
        <v>139</v>
      </c>
      <c r="E58" s="87" t="s">
        <v>132</v>
      </c>
      <c r="F58" s="57">
        <v>56.5</v>
      </c>
      <c r="G58" s="57">
        <f>5.5+6*2+5.5+6+5.5+5*2+6*3</f>
        <v>62.5</v>
      </c>
      <c r="H58" s="58">
        <f t="shared" si="60"/>
        <v>0.54090909090909089</v>
      </c>
      <c r="I58" s="59">
        <v>3</v>
      </c>
      <c r="J58" s="6">
        <v>8</v>
      </c>
      <c r="K58" s="57">
        <f>6*2+6.5*3+6*2+5.5+6*3+6.5-16</f>
        <v>57.5</v>
      </c>
      <c r="L58" s="57">
        <f>6+5.5+5*2+5.5+5*3+5*3+6-16</f>
        <v>47</v>
      </c>
      <c r="M58" s="58">
        <f t="shared" si="61"/>
        <v>0.43541666666666667</v>
      </c>
      <c r="N58" s="59">
        <v>3</v>
      </c>
      <c r="O58" s="6">
        <f t="shared" si="62"/>
        <v>8</v>
      </c>
      <c r="Q58" s="60">
        <f t="shared" si="63"/>
        <v>16</v>
      </c>
      <c r="R58" s="61">
        <v>3</v>
      </c>
      <c r="S58" s="8"/>
      <c r="T58" s="62">
        <f t="shared" si="64"/>
        <v>0.48816287878787878</v>
      </c>
      <c r="U58" s="63">
        <v>110</v>
      </c>
      <c r="V58" s="63">
        <v>120</v>
      </c>
    </row>
    <row r="59" spans="2:22" ht="19" x14ac:dyDescent="0.2">
      <c r="B59" s="97">
        <v>39</v>
      </c>
      <c r="C59" s="98" t="s">
        <v>221</v>
      </c>
      <c r="D59" s="98" t="s">
        <v>141</v>
      </c>
      <c r="E59" s="98" t="s">
        <v>130</v>
      </c>
      <c r="F59" s="99">
        <v>62.5</v>
      </c>
      <c r="G59" s="99">
        <f>5.5+6+5.5+6*2+5.5+6+5.5+6*3</f>
        <v>64</v>
      </c>
      <c r="H59" s="100">
        <f t="shared" si="60"/>
        <v>0.57499999999999996</v>
      </c>
      <c r="I59" s="95"/>
      <c r="J59" s="101"/>
      <c r="K59" s="99">
        <f>5+6*4+5.5+6*2+6+5.5+6+6</f>
        <v>70</v>
      </c>
      <c r="L59" s="99">
        <f>5*4+5.5+5*3+5*3+5</f>
        <v>60.5</v>
      </c>
      <c r="M59" s="100">
        <f t="shared" si="61"/>
        <v>0.54374999999999996</v>
      </c>
      <c r="N59" s="95"/>
      <c r="O59" s="101">
        <f t="shared" si="62"/>
        <v>0</v>
      </c>
      <c r="P59" s="102"/>
      <c r="Q59" s="103">
        <f t="shared" si="63"/>
        <v>0</v>
      </c>
      <c r="R59" s="96"/>
      <c r="S59" s="104"/>
      <c r="T59" s="105">
        <f t="shared" si="64"/>
        <v>0.55937499999999996</v>
      </c>
      <c r="U59" s="63">
        <v>110</v>
      </c>
      <c r="V59" s="63">
        <v>120</v>
      </c>
    </row>
    <row r="60" spans="2:22" ht="19" x14ac:dyDescent="0.2">
      <c r="B60" s="82"/>
      <c r="C60" s="83"/>
      <c r="D60" s="83"/>
      <c r="E60" s="83"/>
      <c r="F60" s="57"/>
      <c r="G60" s="57"/>
      <c r="H60" s="58">
        <f t="shared" ref="H60" si="65">IF(F60=0,0,AVERAGE(F60:G60)/U60)</f>
        <v>0</v>
      </c>
      <c r="I60" s="59"/>
      <c r="J60" s="6"/>
      <c r="K60" s="57"/>
      <c r="L60" s="57"/>
      <c r="M60" s="58">
        <f t="shared" ref="M60" si="66">IF(K60=0,0,AVERAGE(K60:L60)/V60)</f>
        <v>0</v>
      </c>
      <c r="N60" s="59"/>
      <c r="O60" s="6">
        <f t="shared" ref="O60" si="67">IF(N60=0,,IF(N60&gt;10,,11-(N60)))</f>
        <v>0</v>
      </c>
      <c r="Q60" s="60">
        <f t="shared" ref="Q60" si="68">J60+O60</f>
        <v>0</v>
      </c>
      <c r="R60" s="61"/>
      <c r="S60" s="8"/>
      <c r="T60" s="62">
        <f t="shared" ref="T60" si="69">IFERROR(AVERAGE(H60,M60),0)</f>
        <v>0</v>
      </c>
      <c r="U60" s="63">
        <v>110</v>
      </c>
      <c r="V60" s="63">
        <v>120</v>
      </c>
    </row>
  </sheetData>
  <mergeCells count="12">
    <mergeCell ref="F45:J45"/>
    <mergeCell ref="K45:O45"/>
    <mergeCell ref="Q45:R45"/>
    <mergeCell ref="F51:J51"/>
    <mergeCell ref="K51:O51"/>
    <mergeCell ref="Q51:R51"/>
    <mergeCell ref="F32:J32"/>
    <mergeCell ref="K32:O32"/>
    <mergeCell ref="Q32:R32"/>
    <mergeCell ref="F41:J41"/>
    <mergeCell ref="K41:O41"/>
    <mergeCell ref="Q41:R41"/>
  </mergeCells>
  <conditionalFormatting sqref="S1:S2 S8:S60">
    <cfRule type="cellIs" dxfId="11" priority="9" operator="equal">
      <formula>"Q"</formula>
    </cfRule>
  </conditionalFormatting>
  <conditionalFormatting sqref="S3:S7 S9:S15 S17:S31">
    <cfRule type="containsText" dxfId="10" priority="8" operator="containsText" text="Q">
      <formula>NOT(ISERROR(SEARCH("Q",S3)))</formula>
    </cfRule>
  </conditionalFormatting>
  <conditionalFormatting sqref="S33:S40">
    <cfRule type="containsText" dxfId="9" priority="7" operator="containsText" text="Q">
      <formula>NOT(ISERROR(SEARCH("Q",S33)))</formula>
    </cfRule>
  </conditionalFormatting>
  <conditionalFormatting sqref="S3:S7">
    <cfRule type="cellIs" dxfId="8" priority="6" operator="equal">
      <formula>"Q"</formula>
    </cfRule>
  </conditionalFormatting>
  <conditionalFormatting sqref="S6">
    <cfRule type="cellIs" dxfId="7" priority="5" operator="equal">
      <formula>"Q"</formula>
    </cfRule>
  </conditionalFormatting>
  <conditionalFormatting sqref="S3:S7">
    <cfRule type="cellIs" dxfId="6" priority="4" operator="equal">
      <formula>"Q"</formula>
    </cfRule>
  </conditionalFormatting>
  <conditionalFormatting sqref="S42:S44">
    <cfRule type="containsText" dxfId="5" priority="3" operator="containsText" text="Q">
      <formula>NOT(ISERROR(SEARCH("Q",S42)))</formula>
    </cfRule>
  </conditionalFormatting>
  <conditionalFormatting sqref="S46:S50">
    <cfRule type="containsText" dxfId="4" priority="2" operator="containsText" text="Q">
      <formula>NOT(ISERROR(SEARCH("Q",S46)))</formula>
    </cfRule>
  </conditionalFormatting>
  <conditionalFormatting sqref="S52:S60">
    <cfRule type="containsText" dxfId="3" priority="1" operator="containsText" text="Q">
      <formula>NOT(ISERROR(SEARCH("Q",S52)))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F62C-9C4E-4CAD-842F-124751EC12DC}">
  <dimension ref="A1:Z86"/>
  <sheetViews>
    <sheetView topLeftCell="B84" workbookViewId="0">
      <selection activeCell="A23" sqref="A23:XFD23"/>
    </sheetView>
  </sheetViews>
  <sheetFormatPr baseColWidth="10" defaultColWidth="8.83203125" defaultRowHeight="15" x14ac:dyDescent="0.2"/>
  <cols>
    <col min="1" max="1" width="7.1640625" customWidth="1"/>
    <col min="2" max="2" width="31.5" customWidth="1"/>
    <col min="3" max="3" width="32.6640625" customWidth="1"/>
    <col min="4" max="4" width="16.83203125" customWidth="1"/>
    <col min="5" max="5" width="9.1640625" style="1"/>
    <col min="6" max="8" width="10" customWidth="1"/>
    <col min="9" max="9" width="10.1640625" customWidth="1"/>
    <col min="10" max="13" width="11.6640625" customWidth="1"/>
    <col min="14" max="14" width="2" customWidth="1"/>
    <col min="15" max="15" width="11.1640625" customWidth="1"/>
    <col min="16" max="16" width="10.1640625" customWidth="1"/>
    <col min="17" max="17" width="8" customWidth="1"/>
    <col min="18" max="18" width="1.5" customWidth="1"/>
    <col min="19" max="19" width="9.5" customWidth="1"/>
    <col min="20" max="20" width="1.33203125" customWidth="1"/>
    <col min="248" max="248" width="7.1640625" customWidth="1"/>
    <col min="249" max="249" width="33.1640625" customWidth="1"/>
    <col min="250" max="250" width="29.5" customWidth="1"/>
    <col min="251" max="251" width="9.5" customWidth="1"/>
    <col min="253" max="253" width="14.83203125" customWidth="1"/>
    <col min="254" max="255" width="8.33203125" customWidth="1"/>
    <col min="262" max="262" width="2.1640625" customWidth="1"/>
    <col min="264" max="264" width="10.1640625" customWidth="1"/>
    <col min="504" max="504" width="7.1640625" customWidth="1"/>
    <col min="505" max="505" width="33.1640625" customWidth="1"/>
    <col min="506" max="506" width="29.5" customWidth="1"/>
    <col min="507" max="507" width="9.5" customWidth="1"/>
    <col min="509" max="509" width="14.83203125" customWidth="1"/>
    <col min="510" max="511" width="8.33203125" customWidth="1"/>
    <col min="518" max="518" width="2.1640625" customWidth="1"/>
    <col min="520" max="520" width="10.1640625" customWidth="1"/>
    <col min="760" max="760" width="7.1640625" customWidth="1"/>
    <col min="761" max="761" width="33.1640625" customWidth="1"/>
    <col min="762" max="762" width="29.5" customWidth="1"/>
    <col min="763" max="763" width="9.5" customWidth="1"/>
    <col min="765" max="765" width="14.83203125" customWidth="1"/>
    <col min="766" max="767" width="8.33203125" customWidth="1"/>
    <col min="774" max="774" width="2.1640625" customWidth="1"/>
    <col min="776" max="776" width="10.1640625" customWidth="1"/>
    <col min="1016" max="1016" width="7.1640625" customWidth="1"/>
    <col min="1017" max="1017" width="33.1640625" customWidth="1"/>
    <col min="1018" max="1018" width="29.5" customWidth="1"/>
    <col min="1019" max="1019" width="9.5" customWidth="1"/>
    <col min="1021" max="1021" width="14.83203125" customWidth="1"/>
    <col min="1022" max="1023" width="8.33203125" customWidth="1"/>
    <col min="1030" max="1030" width="2.1640625" customWidth="1"/>
    <col min="1032" max="1032" width="10.1640625" customWidth="1"/>
    <col min="1272" max="1272" width="7.1640625" customWidth="1"/>
    <col min="1273" max="1273" width="33.1640625" customWidth="1"/>
    <col min="1274" max="1274" width="29.5" customWidth="1"/>
    <col min="1275" max="1275" width="9.5" customWidth="1"/>
    <col min="1277" max="1277" width="14.83203125" customWidth="1"/>
    <col min="1278" max="1279" width="8.33203125" customWidth="1"/>
    <col min="1286" max="1286" width="2.1640625" customWidth="1"/>
    <col min="1288" max="1288" width="10.1640625" customWidth="1"/>
    <col min="1528" max="1528" width="7.1640625" customWidth="1"/>
    <col min="1529" max="1529" width="33.1640625" customWidth="1"/>
    <col min="1530" max="1530" width="29.5" customWidth="1"/>
    <col min="1531" max="1531" width="9.5" customWidth="1"/>
    <col min="1533" max="1533" width="14.83203125" customWidth="1"/>
    <col min="1534" max="1535" width="8.33203125" customWidth="1"/>
    <col min="1542" max="1542" width="2.1640625" customWidth="1"/>
    <col min="1544" max="1544" width="10.1640625" customWidth="1"/>
    <col min="1784" max="1784" width="7.1640625" customWidth="1"/>
    <col min="1785" max="1785" width="33.1640625" customWidth="1"/>
    <col min="1786" max="1786" width="29.5" customWidth="1"/>
    <col min="1787" max="1787" width="9.5" customWidth="1"/>
    <col min="1789" max="1789" width="14.83203125" customWidth="1"/>
    <col min="1790" max="1791" width="8.33203125" customWidth="1"/>
    <col min="1798" max="1798" width="2.1640625" customWidth="1"/>
    <col min="1800" max="1800" width="10.1640625" customWidth="1"/>
    <col min="2040" max="2040" width="7.1640625" customWidth="1"/>
    <col min="2041" max="2041" width="33.1640625" customWidth="1"/>
    <col min="2042" max="2042" width="29.5" customWidth="1"/>
    <col min="2043" max="2043" width="9.5" customWidth="1"/>
    <col min="2045" max="2045" width="14.83203125" customWidth="1"/>
    <col min="2046" max="2047" width="8.33203125" customWidth="1"/>
    <col min="2054" max="2054" width="2.1640625" customWidth="1"/>
    <col min="2056" max="2056" width="10.1640625" customWidth="1"/>
    <col min="2296" max="2296" width="7.1640625" customWidth="1"/>
    <col min="2297" max="2297" width="33.1640625" customWidth="1"/>
    <col min="2298" max="2298" width="29.5" customWidth="1"/>
    <col min="2299" max="2299" width="9.5" customWidth="1"/>
    <col min="2301" max="2301" width="14.83203125" customWidth="1"/>
    <col min="2302" max="2303" width="8.33203125" customWidth="1"/>
    <col min="2310" max="2310" width="2.1640625" customWidth="1"/>
    <col min="2312" max="2312" width="10.1640625" customWidth="1"/>
    <col min="2552" max="2552" width="7.1640625" customWidth="1"/>
    <col min="2553" max="2553" width="33.1640625" customWidth="1"/>
    <col min="2554" max="2554" width="29.5" customWidth="1"/>
    <col min="2555" max="2555" width="9.5" customWidth="1"/>
    <col min="2557" max="2557" width="14.83203125" customWidth="1"/>
    <col min="2558" max="2559" width="8.33203125" customWidth="1"/>
    <col min="2566" max="2566" width="2.1640625" customWidth="1"/>
    <col min="2568" max="2568" width="10.1640625" customWidth="1"/>
    <col min="2808" max="2808" width="7.1640625" customWidth="1"/>
    <col min="2809" max="2809" width="33.1640625" customWidth="1"/>
    <col min="2810" max="2810" width="29.5" customWidth="1"/>
    <col min="2811" max="2811" width="9.5" customWidth="1"/>
    <col min="2813" max="2813" width="14.83203125" customWidth="1"/>
    <col min="2814" max="2815" width="8.33203125" customWidth="1"/>
    <col min="2822" max="2822" width="2.1640625" customWidth="1"/>
    <col min="2824" max="2824" width="10.1640625" customWidth="1"/>
    <col min="3064" max="3064" width="7.1640625" customWidth="1"/>
    <col min="3065" max="3065" width="33.1640625" customWidth="1"/>
    <col min="3066" max="3066" width="29.5" customWidth="1"/>
    <col min="3067" max="3067" width="9.5" customWidth="1"/>
    <col min="3069" max="3069" width="14.83203125" customWidth="1"/>
    <col min="3070" max="3071" width="8.33203125" customWidth="1"/>
    <col min="3078" max="3078" width="2.1640625" customWidth="1"/>
    <col min="3080" max="3080" width="10.1640625" customWidth="1"/>
    <col min="3320" max="3320" width="7.1640625" customWidth="1"/>
    <col min="3321" max="3321" width="33.1640625" customWidth="1"/>
    <col min="3322" max="3322" width="29.5" customWidth="1"/>
    <col min="3323" max="3323" width="9.5" customWidth="1"/>
    <col min="3325" max="3325" width="14.83203125" customWidth="1"/>
    <col min="3326" max="3327" width="8.33203125" customWidth="1"/>
    <col min="3334" max="3334" width="2.1640625" customWidth="1"/>
    <col min="3336" max="3336" width="10.1640625" customWidth="1"/>
    <col min="3576" max="3576" width="7.1640625" customWidth="1"/>
    <col min="3577" max="3577" width="33.1640625" customWidth="1"/>
    <col min="3578" max="3578" width="29.5" customWidth="1"/>
    <col min="3579" max="3579" width="9.5" customWidth="1"/>
    <col min="3581" max="3581" width="14.83203125" customWidth="1"/>
    <col min="3582" max="3583" width="8.33203125" customWidth="1"/>
    <col min="3590" max="3590" width="2.1640625" customWidth="1"/>
    <col min="3592" max="3592" width="10.1640625" customWidth="1"/>
    <col min="3832" max="3832" width="7.1640625" customWidth="1"/>
    <col min="3833" max="3833" width="33.1640625" customWidth="1"/>
    <col min="3834" max="3834" width="29.5" customWidth="1"/>
    <col min="3835" max="3835" width="9.5" customWidth="1"/>
    <col min="3837" max="3837" width="14.83203125" customWidth="1"/>
    <col min="3838" max="3839" width="8.33203125" customWidth="1"/>
    <col min="3846" max="3846" width="2.1640625" customWidth="1"/>
    <col min="3848" max="3848" width="10.1640625" customWidth="1"/>
    <col min="4088" max="4088" width="7.1640625" customWidth="1"/>
    <col min="4089" max="4089" width="33.1640625" customWidth="1"/>
    <col min="4090" max="4090" width="29.5" customWidth="1"/>
    <col min="4091" max="4091" width="9.5" customWidth="1"/>
    <col min="4093" max="4093" width="14.83203125" customWidth="1"/>
    <col min="4094" max="4095" width="8.33203125" customWidth="1"/>
    <col min="4102" max="4102" width="2.1640625" customWidth="1"/>
    <col min="4104" max="4104" width="10.1640625" customWidth="1"/>
    <col min="4344" max="4344" width="7.1640625" customWidth="1"/>
    <col min="4345" max="4345" width="33.1640625" customWidth="1"/>
    <col min="4346" max="4346" width="29.5" customWidth="1"/>
    <col min="4347" max="4347" width="9.5" customWidth="1"/>
    <col min="4349" max="4349" width="14.83203125" customWidth="1"/>
    <col min="4350" max="4351" width="8.33203125" customWidth="1"/>
    <col min="4358" max="4358" width="2.1640625" customWidth="1"/>
    <col min="4360" max="4360" width="10.1640625" customWidth="1"/>
    <col min="4600" max="4600" width="7.1640625" customWidth="1"/>
    <col min="4601" max="4601" width="33.1640625" customWidth="1"/>
    <col min="4602" max="4602" width="29.5" customWidth="1"/>
    <col min="4603" max="4603" width="9.5" customWidth="1"/>
    <col min="4605" max="4605" width="14.83203125" customWidth="1"/>
    <col min="4606" max="4607" width="8.33203125" customWidth="1"/>
    <col min="4614" max="4614" width="2.1640625" customWidth="1"/>
    <col min="4616" max="4616" width="10.1640625" customWidth="1"/>
    <col min="4856" max="4856" width="7.1640625" customWidth="1"/>
    <col min="4857" max="4857" width="33.1640625" customWidth="1"/>
    <col min="4858" max="4858" width="29.5" customWidth="1"/>
    <col min="4859" max="4859" width="9.5" customWidth="1"/>
    <col min="4861" max="4861" width="14.83203125" customWidth="1"/>
    <col min="4862" max="4863" width="8.33203125" customWidth="1"/>
    <col min="4870" max="4870" width="2.1640625" customWidth="1"/>
    <col min="4872" max="4872" width="10.1640625" customWidth="1"/>
    <col min="5112" max="5112" width="7.1640625" customWidth="1"/>
    <col min="5113" max="5113" width="33.1640625" customWidth="1"/>
    <col min="5114" max="5114" width="29.5" customWidth="1"/>
    <col min="5115" max="5115" width="9.5" customWidth="1"/>
    <col min="5117" max="5117" width="14.83203125" customWidth="1"/>
    <col min="5118" max="5119" width="8.33203125" customWidth="1"/>
    <col min="5126" max="5126" width="2.1640625" customWidth="1"/>
    <col min="5128" max="5128" width="10.1640625" customWidth="1"/>
    <col min="5368" max="5368" width="7.1640625" customWidth="1"/>
    <col min="5369" max="5369" width="33.1640625" customWidth="1"/>
    <col min="5370" max="5370" width="29.5" customWidth="1"/>
    <col min="5371" max="5371" width="9.5" customWidth="1"/>
    <col min="5373" max="5373" width="14.83203125" customWidth="1"/>
    <col min="5374" max="5375" width="8.33203125" customWidth="1"/>
    <col min="5382" max="5382" width="2.1640625" customWidth="1"/>
    <col min="5384" max="5384" width="10.1640625" customWidth="1"/>
    <col min="5624" max="5624" width="7.1640625" customWidth="1"/>
    <col min="5625" max="5625" width="33.1640625" customWidth="1"/>
    <col min="5626" max="5626" width="29.5" customWidth="1"/>
    <col min="5627" max="5627" width="9.5" customWidth="1"/>
    <col min="5629" max="5629" width="14.83203125" customWidth="1"/>
    <col min="5630" max="5631" width="8.33203125" customWidth="1"/>
    <col min="5638" max="5638" width="2.1640625" customWidth="1"/>
    <col min="5640" max="5640" width="10.1640625" customWidth="1"/>
    <col min="5880" max="5880" width="7.1640625" customWidth="1"/>
    <col min="5881" max="5881" width="33.1640625" customWidth="1"/>
    <col min="5882" max="5882" width="29.5" customWidth="1"/>
    <col min="5883" max="5883" width="9.5" customWidth="1"/>
    <col min="5885" max="5885" width="14.83203125" customWidth="1"/>
    <col min="5886" max="5887" width="8.33203125" customWidth="1"/>
    <col min="5894" max="5894" width="2.1640625" customWidth="1"/>
    <col min="5896" max="5896" width="10.1640625" customWidth="1"/>
    <col min="6136" max="6136" width="7.1640625" customWidth="1"/>
    <col min="6137" max="6137" width="33.1640625" customWidth="1"/>
    <col min="6138" max="6138" width="29.5" customWidth="1"/>
    <col min="6139" max="6139" width="9.5" customWidth="1"/>
    <col min="6141" max="6141" width="14.83203125" customWidth="1"/>
    <col min="6142" max="6143" width="8.33203125" customWidth="1"/>
    <col min="6150" max="6150" width="2.1640625" customWidth="1"/>
    <col min="6152" max="6152" width="10.1640625" customWidth="1"/>
    <col min="6392" max="6392" width="7.1640625" customWidth="1"/>
    <col min="6393" max="6393" width="33.1640625" customWidth="1"/>
    <col min="6394" max="6394" width="29.5" customWidth="1"/>
    <col min="6395" max="6395" width="9.5" customWidth="1"/>
    <col min="6397" max="6397" width="14.83203125" customWidth="1"/>
    <col min="6398" max="6399" width="8.33203125" customWidth="1"/>
    <col min="6406" max="6406" width="2.1640625" customWidth="1"/>
    <col min="6408" max="6408" width="10.1640625" customWidth="1"/>
    <col min="6648" max="6648" width="7.1640625" customWidth="1"/>
    <col min="6649" max="6649" width="33.1640625" customWidth="1"/>
    <col min="6650" max="6650" width="29.5" customWidth="1"/>
    <col min="6651" max="6651" width="9.5" customWidth="1"/>
    <col min="6653" max="6653" width="14.83203125" customWidth="1"/>
    <col min="6654" max="6655" width="8.33203125" customWidth="1"/>
    <col min="6662" max="6662" width="2.1640625" customWidth="1"/>
    <col min="6664" max="6664" width="10.1640625" customWidth="1"/>
    <col min="6904" max="6904" width="7.1640625" customWidth="1"/>
    <col min="6905" max="6905" width="33.1640625" customWidth="1"/>
    <col min="6906" max="6906" width="29.5" customWidth="1"/>
    <col min="6907" max="6907" width="9.5" customWidth="1"/>
    <col min="6909" max="6909" width="14.83203125" customWidth="1"/>
    <col min="6910" max="6911" width="8.33203125" customWidth="1"/>
    <col min="6918" max="6918" width="2.1640625" customWidth="1"/>
    <col min="6920" max="6920" width="10.1640625" customWidth="1"/>
    <col min="7160" max="7160" width="7.1640625" customWidth="1"/>
    <col min="7161" max="7161" width="33.1640625" customWidth="1"/>
    <col min="7162" max="7162" width="29.5" customWidth="1"/>
    <col min="7163" max="7163" width="9.5" customWidth="1"/>
    <col min="7165" max="7165" width="14.83203125" customWidth="1"/>
    <col min="7166" max="7167" width="8.33203125" customWidth="1"/>
    <col min="7174" max="7174" width="2.1640625" customWidth="1"/>
    <col min="7176" max="7176" width="10.1640625" customWidth="1"/>
    <col min="7416" max="7416" width="7.1640625" customWidth="1"/>
    <col min="7417" max="7417" width="33.1640625" customWidth="1"/>
    <col min="7418" max="7418" width="29.5" customWidth="1"/>
    <col min="7419" max="7419" width="9.5" customWidth="1"/>
    <col min="7421" max="7421" width="14.83203125" customWidth="1"/>
    <col min="7422" max="7423" width="8.33203125" customWidth="1"/>
    <col min="7430" max="7430" width="2.1640625" customWidth="1"/>
    <col min="7432" max="7432" width="10.1640625" customWidth="1"/>
    <col min="7672" max="7672" width="7.1640625" customWidth="1"/>
    <col min="7673" max="7673" width="33.1640625" customWidth="1"/>
    <col min="7674" max="7674" width="29.5" customWidth="1"/>
    <col min="7675" max="7675" width="9.5" customWidth="1"/>
    <col min="7677" max="7677" width="14.83203125" customWidth="1"/>
    <col min="7678" max="7679" width="8.33203125" customWidth="1"/>
    <col min="7686" max="7686" width="2.1640625" customWidth="1"/>
    <col min="7688" max="7688" width="10.1640625" customWidth="1"/>
    <col min="7928" max="7928" width="7.1640625" customWidth="1"/>
    <col min="7929" max="7929" width="33.1640625" customWidth="1"/>
    <col min="7930" max="7930" width="29.5" customWidth="1"/>
    <col min="7931" max="7931" width="9.5" customWidth="1"/>
    <col min="7933" max="7933" width="14.83203125" customWidth="1"/>
    <col min="7934" max="7935" width="8.33203125" customWidth="1"/>
    <col min="7942" max="7942" width="2.1640625" customWidth="1"/>
    <col min="7944" max="7944" width="10.1640625" customWidth="1"/>
    <col min="8184" max="8184" width="7.1640625" customWidth="1"/>
    <col min="8185" max="8185" width="33.1640625" customWidth="1"/>
    <col min="8186" max="8186" width="29.5" customWidth="1"/>
    <col min="8187" max="8187" width="9.5" customWidth="1"/>
    <col min="8189" max="8189" width="14.83203125" customWidth="1"/>
    <col min="8190" max="8191" width="8.33203125" customWidth="1"/>
    <col min="8198" max="8198" width="2.1640625" customWidth="1"/>
    <col min="8200" max="8200" width="10.1640625" customWidth="1"/>
    <col min="8440" max="8440" width="7.1640625" customWidth="1"/>
    <col min="8441" max="8441" width="33.1640625" customWidth="1"/>
    <col min="8442" max="8442" width="29.5" customWidth="1"/>
    <col min="8443" max="8443" width="9.5" customWidth="1"/>
    <col min="8445" max="8445" width="14.83203125" customWidth="1"/>
    <col min="8446" max="8447" width="8.33203125" customWidth="1"/>
    <col min="8454" max="8454" width="2.1640625" customWidth="1"/>
    <col min="8456" max="8456" width="10.1640625" customWidth="1"/>
    <col min="8696" max="8696" width="7.1640625" customWidth="1"/>
    <col min="8697" max="8697" width="33.1640625" customWidth="1"/>
    <col min="8698" max="8698" width="29.5" customWidth="1"/>
    <col min="8699" max="8699" width="9.5" customWidth="1"/>
    <col min="8701" max="8701" width="14.83203125" customWidth="1"/>
    <col min="8702" max="8703" width="8.33203125" customWidth="1"/>
    <col min="8710" max="8710" width="2.1640625" customWidth="1"/>
    <col min="8712" max="8712" width="10.1640625" customWidth="1"/>
    <col min="8952" max="8952" width="7.1640625" customWidth="1"/>
    <col min="8953" max="8953" width="33.1640625" customWidth="1"/>
    <col min="8954" max="8954" width="29.5" customWidth="1"/>
    <col min="8955" max="8955" width="9.5" customWidth="1"/>
    <col min="8957" max="8957" width="14.83203125" customWidth="1"/>
    <col min="8958" max="8959" width="8.33203125" customWidth="1"/>
    <col min="8966" max="8966" width="2.1640625" customWidth="1"/>
    <col min="8968" max="8968" width="10.1640625" customWidth="1"/>
    <col min="9208" max="9208" width="7.1640625" customWidth="1"/>
    <col min="9209" max="9209" width="33.1640625" customWidth="1"/>
    <col min="9210" max="9210" width="29.5" customWidth="1"/>
    <col min="9211" max="9211" width="9.5" customWidth="1"/>
    <col min="9213" max="9213" width="14.83203125" customWidth="1"/>
    <col min="9214" max="9215" width="8.33203125" customWidth="1"/>
    <col min="9222" max="9222" width="2.1640625" customWidth="1"/>
    <col min="9224" max="9224" width="10.1640625" customWidth="1"/>
    <col min="9464" max="9464" width="7.1640625" customWidth="1"/>
    <col min="9465" max="9465" width="33.1640625" customWidth="1"/>
    <col min="9466" max="9466" width="29.5" customWidth="1"/>
    <col min="9467" max="9467" width="9.5" customWidth="1"/>
    <col min="9469" max="9469" width="14.83203125" customWidth="1"/>
    <col min="9470" max="9471" width="8.33203125" customWidth="1"/>
    <col min="9478" max="9478" width="2.1640625" customWidth="1"/>
    <col min="9480" max="9480" width="10.1640625" customWidth="1"/>
    <col min="9720" max="9720" width="7.1640625" customWidth="1"/>
    <col min="9721" max="9721" width="33.1640625" customWidth="1"/>
    <col min="9722" max="9722" width="29.5" customWidth="1"/>
    <col min="9723" max="9723" width="9.5" customWidth="1"/>
    <col min="9725" max="9725" width="14.83203125" customWidth="1"/>
    <col min="9726" max="9727" width="8.33203125" customWidth="1"/>
    <col min="9734" max="9734" width="2.1640625" customWidth="1"/>
    <col min="9736" max="9736" width="10.1640625" customWidth="1"/>
    <col min="9976" max="9976" width="7.1640625" customWidth="1"/>
    <col min="9977" max="9977" width="33.1640625" customWidth="1"/>
    <col min="9978" max="9978" width="29.5" customWidth="1"/>
    <col min="9979" max="9979" width="9.5" customWidth="1"/>
    <col min="9981" max="9981" width="14.83203125" customWidth="1"/>
    <col min="9982" max="9983" width="8.33203125" customWidth="1"/>
    <col min="9990" max="9990" width="2.1640625" customWidth="1"/>
    <col min="9992" max="9992" width="10.1640625" customWidth="1"/>
    <col min="10232" max="10232" width="7.1640625" customWidth="1"/>
    <col min="10233" max="10233" width="33.1640625" customWidth="1"/>
    <col min="10234" max="10234" width="29.5" customWidth="1"/>
    <col min="10235" max="10235" width="9.5" customWidth="1"/>
    <col min="10237" max="10237" width="14.83203125" customWidth="1"/>
    <col min="10238" max="10239" width="8.33203125" customWidth="1"/>
    <col min="10246" max="10246" width="2.1640625" customWidth="1"/>
    <col min="10248" max="10248" width="10.1640625" customWidth="1"/>
    <col min="10488" max="10488" width="7.1640625" customWidth="1"/>
    <col min="10489" max="10489" width="33.1640625" customWidth="1"/>
    <col min="10490" max="10490" width="29.5" customWidth="1"/>
    <col min="10491" max="10491" width="9.5" customWidth="1"/>
    <col min="10493" max="10493" width="14.83203125" customWidth="1"/>
    <col min="10494" max="10495" width="8.33203125" customWidth="1"/>
    <col min="10502" max="10502" width="2.1640625" customWidth="1"/>
    <col min="10504" max="10504" width="10.1640625" customWidth="1"/>
    <col min="10744" max="10744" width="7.1640625" customWidth="1"/>
    <col min="10745" max="10745" width="33.1640625" customWidth="1"/>
    <col min="10746" max="10746" width="29.5" customWidth="1"/>
    <col min="10747" max="10747" width="9.5" customWidth="1"/>
    <col min="10749" max="10749" width="14.83203125" customWidth="1"/>
    <col min="10750" max="10751" width="8.33203125" customWidth="1"/>
    <col min="10758" max="10758" width="2.1640625" customWidth="1"/>
    <col min="10760" max="10760" width="10.1640625" customWidth="1"/>
    <col min="11000" max="11000" width="7.1640625" customWidth="1"/>
    <col min="11001" max="11001" width="33.1640625" customWidth="1"/>
    <col min="11002" max="11002" width="29.5" customWidth="1"/>
    <col min="11003" max="11003" width="9.5" customWidth="1"/>
    <col min="11005" max="11005" width="14.83203125" customWidth="1"/>
    <col min="11006" max="11007" width="8.33203125" customWidth="1"/>
    <col min="11014" max="11014" width="2.1640625" customWidth="1"/>
    <col min="11016" max="11016" width="10.1640625" customWidth="1"/>
    <col min="11256" max="11256" width="7.1640625" customWidth="1"/>
    <col min="11257" max="11257" width="33.1640625" customWidth="1"/>
    <col min="11258" max="11258" width="29.5" customWidth="1"/>
    <col min="11259" max="11259" width="9.5" customWidth="1"/>
    <col min="11261" max="11261" width="14.83203125" customWidth="1"/>
    <col min="11262" max="11263" width="8.33203125" customWidth="1"/>
    <col min="11270" max="11270" width="2.1640625" customWidth="1"/>
    <col min="11272" max="11272" width="10.1640625" customWidth="1"/>
    <col min="11512" max="11512" width="7.1640625" customWidth="1"/>
    <col min="11513" max="11513" width="33.1640625" customWidth="1"/>
    <col min="11514" max="11514" width="29.5" customWidth="1"/>
    <col min="11515" max="11515" width="9.5" customWidth="1"/>
    <col min="11517" max="11517" width="14.83203125" customWidth="1"/>
    <col min="11518" max="11519" width="8.33203125" customWidth="1"/>
    <col min="11526" max="11526" width="2.1640625" customWidth="1"/>
    <col min="11528" max="11528" width="10.1640625" customWidth="1"/>
    <col min="11768" max="11768" width="7.1640625" customWidth="1"/>
    <col min="11769" max="11769" width="33.1640625" customWidth="1"/>
    <col min="11770" max="11770" width="29.5" customWidth="1"/>
    <col min="11771" max="11771" width="9.5" customWidth="1"/>
    <col min="11773" max="11773" width="14.83203125" customWidth="1"/>
    <col min="11774" max="11775" width="8.33203125" customWidth="1"/>
    <col min="11782" max="11782" width="2.1640625" customWidth="1"/>
    <col min="11784" max="11784" width="10.1640625" customWidth="1"/>
    <col min="12024" max="12024" width="7.1640625" customWidth="1"/>
    <col min="12025" max="12025" width="33.1640625" customWidth="1"/>
    <col min="12026" max="12026" width="29.5" customWidth="1"/>
    <col min="12027" max="12027" width="9.5" customWidth="1"/>
    <col min="12029" max="12029" width="14.83203125" customWidth="1"/>
    <col min="12030" max="12031" width="8.33203125" customWidth="1"/>
    <col min="12038" max="12038" width="2.1640625" customWidth="1"/>
    <col min="12040" max="12040" width="10.1640625" customWidth="1"/>
    <col min="12280" max="12280" width="7.1640625" customWidth="1"/>
    <col min="12281" max="12281" width="33.1640625" customWidth="1"/>
    <col min="12282" max="12282" width="29.5" customWidth="1"/>
    <col min="12283" max="12283" width="9.5" customWidth="1"/>
    <col min="12285" max="12285" width="14.83203125" customWidth="1"/>
    <col min="12286" max="12287" width="8.33203125" customWidth="1"/>
    <col min="12294" max="12294" width="2.1640625" customWidth="1"/>
    <col min="12296" max="12296" width="10.1640625" customWidth="1"/>
    <col min="12536" max="12536" width="7.1640625" customWidth="1"/>
    <col min="12537" max="12537" width="33.1640625" customWidth="1"/>
    <col min="12538" max="12538" width="29.5" customWidth="1"/>
    <col min="12539" max="12539" width="9.5" customWidth="1"/>
    <col min="12541" max="12541" width="14.83203125" customWidth="1"/>
    <col min="12542" max="12543" width="8.33203125" customWidth="1"/>
    <col min="12550" max="12550" width="2.1640625" customWidth="1"/>
    <col min="12552" max="12552" width="10.1640625" customWidth="1"/>
    <col min="12792" max="12792" width="7.1640625" customWidth="1"/>
    <col min="12793" max="12793" width="33.1640625" customWidth="1"/>
    <col min="12794" max="12794" width="29.5" customWidth="1"/>
    <col min="12795" max="12795" width="9.5" customWidth="1"/>
    <col min="12797" max="12797" width="14.83203125" customWidth="1"/>
    <col min="12798" max="12799" width="8.33203125" customWidth="1"/>
    <col min="12806" max="12806" width="2.1640625" customWidth="1"/>
    <col min="12808" max="12808" width="10.1640625" customWidth="1"/>
    <col min="13048" max="13048" width="7.1640625" customWidth="1"/>
    <col min="13049" max="13049" width="33.1640625" customWidth="1"/>
    <col min="13050" max="13050" width="29.5" customWidth="1"/>
    <col min="13051" max="13051" width="9.5" customWidth="1"/>
    <col min="13053" max="13053" width="14.83203125" customWidth="1"/>
    <col min="13054" max="13055" width="8.33203125" customWidth="1"/>
    <col min="13062" max="13062" width="2.1640625" customWidth="1"/>
    <col min="13064" max="13064" width="10.1640625" customWidth="1"/>
    <col min="13304" max="13304" width="7.1640625" customWidth="1"/>
    <col min="13305" max="13305" width="33.1640625" customWidth="1"/>
    <col min="13306" max="13306" width="29.5" customWidth="1"/>
    <col min="13307" max="13307" width="9.5" customWidth="1"/>
    <col min="13309" max="13309" width="14.83203125" customWidth="1"/>
    <col min="13310" max="13311" width="8.33203125" customWidth="1"/>
    <col min="13318" max="13318" width="2.1640625" customWidth="1"/>
    <col min="13320" max="13320" width="10.1640625" customWidth="1"/>
    <col min="13560" max="13560" width="7.1640625" customWidth="1"/>
    <col min="13561" max="13561" width="33.1640625" customWidth="1"/>
    <col min="13562" max="13562" width="29.5" customWidth="1"/>
    <col min="13563" max="13563" width="9.5" customWidth="1"/>
    <col min="13565" max="13565" width="14.83203125" customWidth="1"/>
    <col min="13566" max="13567" width="8.33203125" customWidth="1"/>
    <col min="13574" max="13574" width="2.1640625" customWidth="1"/>
    <col min="13576" max="13576" width="10.1640625" customWidth="1"/>
    <col min="13816" max="13816" width="7.1640625" customWidth="1"/>
    <col min="13817" max="13817" width="33.1640625" customWidth="1"/>
    <col min="13818" max="13818" width="29.5" customWidth="1"/>
    <col min="13819" max="13819" width="9.5" customWidth="1"/>
    <col min="13821" max="13821" width="14.83203125" customWidth="1"/>
    <col min="13822" max="13823" width="8.33203125" customWidth="1"/>
    <col min="13830" max="13830" width="2.1640625" customWidth="1"/>
    <col min="13832" max="13832" width="10.1640625" customWidth="1"/>
    <col min="14072" max="14072" width="7.1640625" customWidth="1"/>
    <col min="14073" max="14073" width="33.1640625" customWidth="1"/>
    <col min="14074" max="14074" width="29.5" customWidth="1"/>
    <col min="14075" max="14075" width="9.5" customWidth="1"/>
    <col min="14077" max="14077" width="14.83203125" customWidth="1"/>
    <col min="14078" max="14079" width="8.33203125" customWidth="1"/>
    <col min="14086" max="14086" width="2.1640625" customWidth="1"/>
    <col min="14088" max="14088" width="10.1640625" customWidth="1"/>
    <col min="14328" max="14328" width="7.1640625" customWidth="1"/>
    <col min="14329" max="14329" width="33.1640625" customWidth="1"/>
    <col min="14330" max="14330" width="29.5" customWidth="1"/>
    <col min="14331" max="14331" width="9.5" customWidth="1"/>
    <col min="14333" max="14333" width="14.83203125" customWidth="1"/>
    <col min="14334" max="14335" width="8.33203125" customWidth="1"/>
    <col min="14342" max="14342" width="2.1640625" customWidth="1"/>
    <col min="14344" max="14344" width="10.1640625" customWidth="1"/>
    <col min="14584" max="14584" width="7.1640625" customWidth="1"/>
    <col min="14585" max="14585" width="33.1640625" customWidth="1"/>
    <col min="14586" max="14586" width="29.5" customWidth="1"/>
    <col min="14587" max="14587" width="9.5" customWidth="1"/>
    <col min="14589" max="14589" width="14.83203125" customWidth="1"/>
    <col min="14590" max="14591" width="8.33203125" customWidth="1"/>
    <col min="14598" max="14598" width="2.1640625" customWidth="1"/>
    <col min="14600" max="14600" width="10.1640625" customWidth="1"/>
    <col min="14840" max="14840" width="7.1640625" customWidth="1"/>
    <col min="14841" max="14841" width="33.1640625" customWidth="1"/>
    <col min="14842" max="14842" width="29.5" customWidth="1"/>
    <col min="14843" max="14843" width="9.5" customWidth="1"/>
    <col min="14845" max="14845" width="14.83203125" customWidth="1"/>
    <col min="14846" max="14847" width="8.33203125" customWidth="1"/>
    <col min="14854" max="14854" width="2.1640625" customWidth="1"/>
    <col min="14856" max="14856" width="10.1640625" customWidth="1"/>
    <col min="15096" max="15096" width="7.1640625" customWidth="1"/>
    <col min="15097" max="15097" width="33.1640625" customWidth="1"/>
    <col min="15098" max="15098" width="29.5" customWidth="1"/>
    <col min="15099" max="15099" width="9.5" customWidth="1"/>
    <col min="15101" max="15101" width="14.83203125" customWidth="1"/>
    <col min="15102" max="15103" width="8.33203125" customWidth="1"/>
    <col min="15110" max="15110" width="2.1640625" customWidth="1"/>
    <col min="15112" max="15112" width="10.1640625" customWidth="1"/>
    <col min="15352" max="15352" width="7.1640625" customWidth="1"/>
    <col min="15353" max="15353" width="33.1640625" customWidth="1"/>
    <col min="15354" max="15354" width="29.5" customWidth="1"/>
    <col min="15355" max="15355" width="9.5" customWidth="1"/>
    <col min="15357" max="15357" width="14.83203125" customWidth="1"/>
    <col min="15358" max="15359" width="8.33203125" customWidth="1"/>
    <col min="15366" max="15366" width="2.1640625" customWidth="1"/>
    <col min="15368" max="15368" width="10.1640625" customWidth="1"/>
    <col min="15608" max="15608" width="7.1640625" customWidth="1"/>
    <col min="15609" max="15609" width="33.1640625" customWidth="1"/>
    <col min="15610" max="15610" width="29.5" customWidth="1"/>
    <col min="15611" max="15611" width="9.5" customWidth="1"/>
    <col min="15613" max="15613" width="14.83203125" customWidth="1"/>
    <col min="15614" max="15615" width="8.33203125" customWidth="1"/>
    <col min="15622" max="15622" width="2.1640625" customWidth="1"/>
    <col min="15624" max="15624" width="10.1640625" customWidth="1"/>
    <col min="15864" max="15864" width="7.1640625" customWidth="1"/>
    <col min="15865" max="15865" width="33.1640625" customWidth="1"/>
    <col min="15866" max="15866" width="29.5" customWidth="1"/>
    <col min="15867" max="15867" width="9.5" customWidth="1"/>
    <col min="15869" max="15869" width="14.83203125" customWidth="1"/>
    <col min="15870" max="15871" width="8.33203125" customWidth="1"/>
    <col min="15878" max="15878" width="2.1640625" customWidth="1"/>
    <col min="15880" max="15880" width="10.1640625" customWidth="1"/>
    <col min="16120" max="16120" width="7.1640625" customWidth="1"/>
    <col min="16121" max="16121" width="33.1640625" customWidth="1"/>
    <col min="16122" max="16122" width="29.5" customWidth="1"/>
    <col min="16123" max="16123" width="9.5" customWidth="1"/>
    <col min="16125" max="16125" width="14.83203125" customWidth="1"/>
    <col min="16126" max="16127" width="8.33203125" customWidth="1"/>
    <col min="16134" max="16134" width="2.1640625" customWidth="1"/>
    <col min="16136" max="16136" width="10.1640625" customWidth="1"/>
  </cols>
  <sheetData>
    <row r="1" spans="1:26" ht="57.75" customHeight="1" x14ac:dyDescent="0.25">
      <c r="A1" s="34"/>
      <c r="C1" s="33"/>
      <c r="D1" s="33"/>
      <c r="E1" s="32"/>
      <c r="F1" s="2"/>
      <c r="H1" s="1"/>
      <c r="J1" s="1"/>
      <c r="K1" s="1"/>
      <c r="L1" s="1"/>
      <c r="M1" s="1"/>
      <c r="N1" s="1"/>
      <c r="O1" s="1">
        <f>116-144.5</f>
        <v>-28.5</v>
      </c>
      <c r="P1" s="1">
        <f>29*0.4</f>
        <v>11.600000000000001</v>
      </c>
      <c r="Q1" s="1"/>
      <c r="R1" s="1"/>
      <c r="S1" s="1"/>
      <c r="T1" s="1"/>
      <c r="U1" s="1">
        <f>29*0.4</f>
        <v>11.600000000000001</v>
      </c>
      <c r="V1" s="1"/>
      <c r="W1" s="1"/>
      <c r="X1" s="1"/>
    </row>
    <row r="2" spans="1:26" ht="16" x14ac:dyDescent="0.2">
      <c r="A2" s="34"/>
      <c r="B2" s="31"/>
      <c r="C2" s="31"/>
      <c r="D2" s="31"/>
      <c r="E2" s="31"/>
      <c r="F2" s="31"/>
      <c r="G2" s="1"/>
      <c r="H2" s="1"/>
      <c r="J2" s="1"/>
      <c r="M2" s="1"/>
      <c r="O2" s="1"/>
    </row>
    <row r="3" spans="1:26" ht="25.5" customHeight="1" x14ac:dyDescent="0.25">
      <c r="F3" s="251" t="s">
        <v>10</v>
      </c>
      <c r="G3" s="252"/>
      <c r="H3" s="253"/>
      <c r="I3" s="38" t="s">
        <v>25</v>
      </c>
      <c r="J3" s="254" t="s">
        <v>11</v>
      </c>
      <c r="K3" s="255"/>
      <c r="L3" s="255"/>
      <c r="M3" s="256"/>
      <c r="O3" s="257">
        <f ca="1">NOW()</f>
        <v>45425.865138657406</v>
      </c>
      <c r="P3" s="258"/>
      <c r="Q3" s="259" t="s">
        <v>12</v>
      </c>
    </row>
    <row r="4" spans="1:26" s="5" customFormat="1" ht="34" x14ac:dyDescent="0.2">
      <c r="A4" s="3" t="s">
        <v>13</v>
      </c>
      <c r="B4" s="30" t="s">
        <v>14</v>
      </c>
      <c r="C4" s="4" t="s">
        <v>0</v>
      </c>
      <c r="D4" s="30" t="s">
        <v>5</v>
      </c>
      <c r="E4" s="3" t="s">
        <v>15</v>
      </c>
      <c r="F4" s="3" t="s">
        <v>1</v>
      </c>
      <c r="G4" s="3" t="s">
        <v>2</v>
      </c>
      <c r="H4" s="3" t="s">
        <v>59</v>
      </c>
      <c r="I4" s="39" t="s">
        <v>3</v>
      </c>
      <c r="J4" s="3" t="s">
        <v>16</v>
      </c>
      <c r="K4" s="3" t="s">
        <v>17</v>
      </c>
      <c r="L4" s="3" t="s">
        <v>18</v>
      </c>
      <c r="M4" s="3" t="s">
        <v>19</v>
      </c>
      <c r="N4"/>
      <c r="O4" s="3" t="s">
        <v>20</v>
      </c>
      <c r="P4" s="3" t="s">
        <v>21</v>
      </c>
      <c r="Q4" s="240"/>
      <c r="R4"/>
      <c r="S4" s="3" t="s">
        <v>22</v>
      </c>
      <c r="T4"/>
      <c r="U4" s="29" t="s">
        <v>23</v>
      </c>
      <c r="V4" s="36" t="s">
        <v>26</v>
      </c>
    </row>
    <row r="5" spans="1:26" ht="20" x14ac:dyDescent="0.2">
      <c r="A5" s="40"/>
      <c r="B5" s="79" t="s">
        <v>150</v>
      </c>
      <c r="C5" s="41"/>
      <c r="D5" s="28"/>
      <c r="E5" s="28"/>
      <c r="F5" s="28"/>
      <c r="G5" s="26"/>
      <c r="H5" s="25"/>
      <c r="I5" s="28"/>
      <c r="J5" s="28"/>
      <c r="K5" s="26"/>
      <c r="L5" s="26"/>
      <c r="M5" s="25"/>
      <c r="O5" s="28"/>
      <c r="P5" s="25"/>
      <c r="Q5" s="17" t="str">
        <f t="shared" ref="Q5:Q9" si="0">IFERROR(IF(OR(P5&gt;10,P5=0),"-",IF(AND((AVERAGE(F5:G5)/U5)&gt;0.55,L5=0),"Q","-")),0)</f>
        <v>-</v>
      </c>
      <c r="S5" s="23"/>
      <c r="Z5" s="5"/>
    </row>
    <row r="6" spans="1:26" s="5" customFormat="1" ht="19.5" customHeight="1" x14ac:dyDescent="0.15">
      <c r="A6" s="66">
        <v>1</v>
      </c>
      <c r="B6" s="87" t="s">
        <v>52</v>
      </c>
      <c r="C6" s="87" t="s">
        <v>62</v>
      </c>
      <c r="D6" s="87" t="s">
        <v>49</v>
      </c>
      <c r="E6" s="22">
        <v>334354</v>
      </c>
      <c r="F6" s="35">
        <f>6+12+5.5+6+12+11+12+6+11+5.5+6+12+6+6.5+6+12+13</f>
        <v>148.5</v>
      </c>
      <c r="G6" s="35">
        <f>6.5+11+6.5*2+13+12+8+6.5+12+5.5+6.5+12+6+6.5+6+12+11</f>
        <v>147.5</v>
      </c>
      <c r="H6" s="7">
        <f>IF(F6=0,0,((AVERAGE(F6:G6))/U6))</f>
        <v>0.59199999999999997</v>
      </c>
      <c r="I6" s="37">
        <f>SUM(100-(H6*100))*1.5</f>
        <v>61.2</v>
      </c>
      <c r="J6" s="21"/>
      <c r="K6" s="21"/>
      <c r="L6" s="21">
        <f>K6+J6</f>
        <v>0</v>
      </c>
      <c r="M6" s="20"/>
      <c r="O6" s="44">
        <f>I6+L6</f>
        <v>61.2</v>
      </c>
      <c r="P6" s="18">
        <v>1</v>
      </c>
      <c r="Q6" s="17" t="str">
        <f>IFERROR(IF(OR(P6&gt;10,P6=0),"-",IF(AND((AVERAGE(F6:G6)/U6)&gt;0.55,L6=0),"Q","-")),0)</f>
        <v>Q</v>
      </c>
      <c r="S6" s="18">
        <f>IF(P6=0,,IF(P6&gt;10,,11-(P6)))</f>
        <v>10</v>
      </c>
      <c r="U6" s="16">
        <v>250</v>
      </c>
      <c r="V6" s="16"/>
    </row>
    <row r="7" spans="1:26" s="5" customFormat="1" ht="19.5" customHeight="1" x14ac:dyDescent="0.15">
      <c r="A7" s="66">
        <v>2</v>
      </c>
      <c r="B7" s="87" t="s">
        <v>63</v>
      </c>
      <c r="C7" s="87" t="s">
        <v>64</v>
      </c>
      <c r="D7" s="87" t="s">
        <v>8</v>
      </c>
      <c r="E7" s="22">
        <v>16808</v>
      </c>
      <c r="F7" s="35">
        <f>6+12+6+5.5+6+12+11+6+12+6+5.5+11+6+6+5.5+13*2</f>
        <v>142.5</v>
      </c>
      <c r="G7" s="35">
        <f>5.5+13+6+6.5+12*3+6+12+5.5+6+12+5.5*3+12*2</f>
        <v>149</v>
      </c>
      <c r="H7" s="7">
        <f>IF(F7=0,0,((AVERAGE(F7:G7))/U7))</f>
        <v>0.58299999999999996</v>
      </c>
      <c r="I7" s="37">
        <f>SUM(100-(H7*100))*1.5</f>
        <v>62.550000000000004</v>
      </c>
      <c r="J7" s="21"/>
      <c r="K7" s="21"/>
      <c r="L7" s="21">
        <f>K7+J7</f>
        <v>0</v>
      </c>
      <c r="M7" s="20"/>
      <c r="O7" s="44">
        <f>I7+L7</f>
        <v>62.550000000000004</v>
      </c>
      <c r="P7" s="18">
        <v>2</v>
      </c>
      <c r="Q7" s="17" t="str">
        <f>IFERROR(IF(OR(P7&gt;10,P7=0),"-",IF(AND((AVERAGE(F7:G7)/U7)&gt;0.55,L7=0),"Q","-")),0)</f>
        <v>Q</v>
      </c>
      <c r="S7" s="18">
        <f>IF(P7=0,,IF(P7&gt;10,,11-(P7)))</f>
        <v>9</v>
      </c>
      <c r="U7" s="16">
        <v>250</v>
      </c>
      <c r="V7" s="16"/>
    </row>
    <row r="8" spans="1:26" s="5" customFormat="1" ht="19.5" customHeight="1" x14ac:dyDescent="0.15">
      <c r="A8" s="66"/>
      <c r="B8" s="64"/>
      <c r="C8" s="64"/>
      <c r="D8" s="64"/>
      <c r="E8" s="22"/>
      <c r="F8" s="35"/>
      <c r="G8" s="35"/>
      <c r="H8" s="7">
        <f>IF(F8=0,0,((AVERAGE(F8:G8))/U8))</f>
        <v>0</v>
      </c>
      <c r="I8" s="37">
        <f>SUM(100-(H8*100))*1.5</f>
        <v>150</v>
      </c>
      <c r="J8" s="21"/>
      <c r="K8" s="21"/>
      <c r="L8" s="21">
        <f>K8+J8</f>
        <v>0</v>
      </c>
      <c r="M8" s="20"/>
      <c r="O8" s="44">
        <f>I8+L8</f>
        <v>150</v>
      </c>
      <c r="P8" s="18"/>
      <c r="Q8" s="17" t="str">
        <f>IFERROR(IF(OR(P8&gt;10,P8=0),"-",IF(AND((AVERAGE(F8:G8)/U8)&gt;0.55,L8=0),"Q","-")),0)</f>
        <v>-</v>
      </c>
      <c r="S8" s="18">
        <f>IF(P8=0,,IF(P8&gt;10,,11-(P8)))</f>
        <v>0</v>
      </c>
      <c r="U8" s="16"/>
      <c r="V8" s="16"/>
    </row>
    <row r="9" spans="1:26" ht="20" x14ac:dyDescent="0.2">
      <c r="A9" s="40"/>
      <c r="B9" s="79" t="s">
        <v>151</v>
      </c>
      <c r="C9" s="65"/>
      <c r="D9" s="28"/>
      <c r="E9" s="28"/>
      <c r="F9" s="28"/>
      <c r="G9" s="26"/>
      <c r="H9" s="25"/>
      <c r="I9" s="28"/>
      <c r="J9" s="28"/>
      <c r="K9" s="26"/>
      <c r="L9" s="26"/>
      <c r="M9" s="25"/>
      <c r="O9" s="67"/>
      <c r="P9" s="68"/>
      <c r="Q9" s="17" t="str">
        <f t="shared" si="0"/>
        <v>-</v>
      </c>
      <c r="S9" s="23"/>
      <c r="Y9" s="5"/>
      <c r="Z9" s="5"/>
    </row>
    <row r="10" spans="1:26" s="5" customFormat="1" ht="19.5" customHeight="1" x14ac:dyDescent="0.15">
      <c r="A10" s="66">
        <v>11</v>
      </c>
      <c r="B10" s="87" t="s">
        <v>48</v>
      </c>
      <c r="C10" s="87" t="s">
        <v>94</v>
      </c>
      <c r="D10" s="87" t="s">
        <v>7</v>
      </c>
      <c r="E10" s="22">
        <v>331964</v>
      </c>
      <c r="F10" s="35">
        <f>6+7+15+11+7*2+6.5+14*2+7*2+16+14+7*2+6+7*2+14*2</f>
        <v>193.5</v>
      </c>
      <c r="G10" s="35"/>
      <c r="H10" s="7">
        <f t="shared" ref="H10:H20" si="1">IF(F10=0,0,((AVERAGE(F10:G10))/U10))</f>
        <v>0.69107142857142856</v>
      </c>
      <c r="I10" s="37">
        <f t="shared" ref="I10:I20" si="2">SUM(100-(H10*100))*1.5</f>
        <v>46.339285714285708</v>
      </c>
      <c r="J10" s="21"/>
      <c r="K10" s="21">
        <f t="shared" ref="K10:K20" si="3">IF(($V10&gt;M10),0,((M10-V10)*0.4))</f>
        <v>0</v>
      </c>
      <c r="L10" s="21">
        <f t="shared" ref="L10:L20" si="4">K10+J10</f>
        <v>0</v>
      </c>
      <c r="M10" s="20">
        <v>63.53</v>
      </c>
      <c r="O10" s="44">
        <f t="shared" ref="O10:O20" si="5">I10+L10</f>
        <v>46.339285714285708</v>
      </c>
      <c r="P10" s="18">
        <v>1</v>
      </c>
      <c r="Q10" s="17" t="str">
        <f t="shared" ref="Q10:Q20" si="6">IFERROR(IF(OR(P10&gt;10,P10=0),"-",IF(AND((AVERAGE(F10:G10)/U10)&gt;0.55,L10=0),"Q","-")),0)</f>
        <v>Q</v>
      </c>
      <c r="S10" s="18">
        <f t="shared" ref="S10:S20" si="7">IF(P10=0,,IF(P10&gt;10,,11-(P10)))</f>
        <v>10</v>
      </c>
      <c r="U10" s="16">
        <v>280</v>
      </c>
      <c r="V10" s="16">
        <v>92</v>
      </c>
    </row>
    <row r="11" spans="1:26" s="5" customFormat="1" ht="19.5" customHeight="1" x14ac:dyDescent="0.15">
      <c r="A11" s="66">
        <v>16</v>
      </c>
      <c r="B11" s="87" t="s">
        <v>48</v>
      </c>
      <c r="C11" s="87" t="s">
        <v>101</v>
      </c>
      <c r="D11" s="87" t="s">
        <v>7</v>
      </c>
      <c r="E11" s="22">
        <v>23220</v>
      </c>
      <c r="F11" s="35">
        <f>6.5*2+14*2+5+6+7+10+14+7+6.5+14*2+6.5+7+6.5*3+12+13</f>
        <v>182.5</v>
      </c>
      <c r="G11" s="35"/>
      <c r="H11" s="7">
        <f t="shared" si="1"/>
        <v>0.6517857142857143</v>
      </c>
      <c r="I11" s="37">
        <f t="shared" si="2"/>
        <v>52.232142857142854</v>
      </c>
      <c r="J11" s="21"/>
      <c r="K11" s="21">
        <f t="shared" si="3"/>
        <v>0</v>
      </c>
      <c r="L11" s="21">
        <f t="shared" si="4"/>
        <v>0</v>
      </c>
      <c r="M11" s="20">
        <v>68</v>
      </c>
      <c r="O11" s="44">
        <f t="shared" si="5"/>
        <v>52.232142857142854</v>
      </c>
      <c r="P11" s="18">
        <v>2</v>
      </c>
      <c r="Q11" s="17" t="str">
        <f t="shared" si="6"/>
        <v>Q</v>
      </c>
      <c r="S11" s="18">
        <f t="shared" si="7"/>
        <v>9</v>
      </c>
      <c r="U11" s="16">
        <v>280</v>
      </c>
      <c r="V11" s="16">
        <v>92</v>
      </c>
    </row>
    <row r="12" spans="1:26" s="5" customFormat="1" ht="19.5" customHeight="1" x14ac:dyDescent="0.15">
      <c r="A12" s="66">
        <v>12</v>
      </c>
      <c r="B12" s="87" t="s">
        <v>95</v>
      </c>
      <c r="C12" s="87" t="s">
        <v>96</v>
      </c>
      <c r="D12" s="87" t="s">
        <v>86</v>
      </c>
      <c r="E12" s="22">
        <v>13446</v>
      </c>
      <c r="F12" s="35">
        <f>6.5*2+14+15+6*2+5.5+13+12+6+6.5+14*2+5.5+6+6.5+6.5+6+12+13</f>
        <v>180.5</v>
      </c>
      <c r="G12" s="35"/>
      <c r="H12" s="7">
        <f t="shared" si="1"/>
        <v>0.64464285714285718</v>
      </c>
      <c r="I12" s="37">
        <f t="shared" si="2"/>
        <v>53.303571428571416</v>
      </c>
      <c r="J12" s="21"/>
      <c r="K12" s="21">
        <f t="shared" si="3"/>
        <v>0</v>
      </c>
      <c r="L12" s="21">
        <f t="shared" si="4"/>
        <v>0</v>
      </c>
      <c r="M12" s="20">
        <v>87.62</v>
      </c>
      <c r="O12" s="44">
        <f t="shared" si="5"/>
        <v>53.303571428571416</v>
      </c>
      <c r="P12" s="18">
        <v>3</v>
      </c>
      <c r="Q12" s="17" t="str">
        <f t="shared" si="6"/>
        <v>Q</v>
      </c>
      <c r="S12" s="18">
        <f t="shared" si="7"/>
        <v>8</v>
      </c>
      <c r="U12" s="16">
        <v>280</v>
      </c>
      <c r="V12" s="16">
        <v>92</v>
      </c>
    </row>
    <row r="13" spans="1:26" s="5" customFormat="1" ht="19.5" customHeight="1" x14ac:dyDescent="0.15">
      <c r="A13" s="66">
        <v>45</v>
      </c>
      <c r="B13" s="87" t="s">
        <v>156</v>
      </c>
      <c r="C13" s="87" t="s">
        <v>157</v>
      </c>
      <c r="D13" s="87" t="s">
        <v>158</v>
      </c>
      <c r="E13" s="22">
        <v>333255</v>
      </c>
      <c r="F13" s="35">
        <f>6+7+14+13+7+6.5+6+12*2+7*2+15+14+6.5*4+6+12+13</f>
        <v>183.5</v>
      </c>
      <c r="G13" s="35"/>
      <c r="H13" s="7">
        <f t="shared" si="1"/>
        <v>0.65535714285714286</v>
      </c>
      <c r="I13" s="37">
        <f t="shared" si="2"/>
        <v>51.696428571428562</v>
      </c>
      <c r="J13" s="21">
        <v>4</v>
      </c>
      <c r="K13" s="21">
        <f t="shared" si="3"/>
        <v>0</v>
      </c>
      <c r="L13" s="21">
        <f t="shared" si="4"/>
        <v>4</v>
      </c>
      <c r="M13" s="20">
        <v>67.349999999999994</v>
      </c>
      <c r="O13" s="44">
        <f t="shared" si="5"/>
        <v>55.696428571428562</v>
      </c>
      <c r="P13" s="18">
        <v>4</v>
      </c>
      <c r="Q13" s="17" t="str">
        <f t="shared" si="6"/>
        <v>-</v>
      </c>
      <c r="S13" s="18">
        <f t="shared" si="7"/>
        <v>7</v>
      </c>
      <c r="U13" s="16">
        <v>280</v>
      </c>
      <c r="V13" s="16">
        <v>92</v>
      </c>
    </row>
    <row r="14" spans="1:26" s="5" customFormat="1" ht="19.5" customHeight="1" x14ac:dyDescent="0.15">
      <c r="A14" s="66">
        <v>7</v>
      </c>
      <c r="B14" s="116" t="s">
        <v>229</v>
      </c>
      <c r="C14" s="87" t="s">
        <v>85</v>
      </c>
      <c r="D14" s="87" t="s">
        <v>86</v>
      </c>
      <c r="E14" s="22">
        <v>11207</v>
      </c>
      <c r="F14" s="35">
        <f>7+7.5+15+11+7*3+12+15+5.5+7+14+11+7+6+7+7*2+13+14</f>
        <v>187</v>
      </c>
      <c r="G14" s="35"/>
      <c r="H14" s="7">
        <f t="shared" si="1"/>
        <v>0.66785714285714282</v>
      </c>
      <c r="I14" s="37">
        <f t="shared" si="2"/>
        <v>49.821428571428584</v>
      </c>
      <c r="J14" s="21">
        <v>8</v>
      </c>
      <c r="K14" s="21">
        <f t="shared" si="3"/>
        <v>0</v>
      </c>
      <c r="L14" s="21">
        <f t="shared" si="4"/>
        <v>8</v>
      </c>
      <c r="M14" s="20">
        <v>89.82</v>
      </c>
      <c r="O14" s="44">
        <f t="shared" si="5"/>
        <v>57.821428571428584</v>
      </c>
      <c r="P14" s="18">
        <v>5</v>
      </c>
      <c r="Q14" s="17" t="str">
        <f t="shared" si="6"/>
        <v>-</v>
      </c>
      <c r="S14" s="18">
        <f t="shared" si="7"/>
        <v>6</v>
      </c>
      <c r="U14" s="16">
        <v>280</v>
      </c>
      <c r="V14" s="16">
        <v>92</v>
      </c>
    </row>
    <row r="15" spans="1:26" s="5" customFormat="1" ht="19.5" customHeight="1" x14ac:dyDescent="0.15">
      <c r="A15" s="66">
        <v>9</v>
      </c>
      <c r="B15" s="87" t="s">
        <v>47</v>
      </c>
      <c r="C15" s="87" t="s">
        <v>89</v>
      </c>
      <c r="D15" s="87" t="s">
        <v>7</v>
      </c>
      <c r="E15" s="22">
        <v>340049</v>
      </c>
      <c r="F15" s="35">
        <f>5.5+6+12+8+4+5+4+12+11+6*2+13+12+5.5+6+5+6+4+8+12</f>
        <v>151</v>
      </c>
      <c r="G15" s="35"/>
      <c r="H15" s="7">
        <f t="shared" si="1"/>
        <v>0.53928571428571426</v>
      </c>
      <c r="I15" s="37">
        <f t="shared" si="2"/>
        <v>69.107142857142861</v>
      </c>
      <c r="J15" s="21">
        <v>8</v>
      </c>
      <c r="K15" s="21">
        <f t="shared" si="3"/>
        <v>3.4639999999999986</v>
      </c>
      <c r="L15" s="21">
        <f t="shared" si="4"/>
        <v>11.463999999999999</v>
      </c>
      <c r="M15" s="20">
        <v>100.66</v>
      </c>
      <c r="O15" s="44">
        <f t="shared" si="5"/>
        <v>80.57114285714286</v>
      </c>
      <c r="P15" s="18">
        <v>6</v>
      </c>
      <c r="Q15" s="17" t="str">
        <f t="shared" si="6"/>
        <v>-</v>
      </c>
      <c r="S15" s="18">
        <f t="shared" si="7"/>
        <v>5</v>
      </c>
      <c r="U15" s="16">
        <v>280</v>
      </c>
      <c r="V15" s="16">
        <v>92</v>
      </c>
    </row>
    <row r="16" spans="1:26" s="5" customFormat="1" ht="19.5" customHeight="1" x14ac:dyDescent="0.15">
      <c r="A16" s="66">
        <v>3</v>
      </c>
      <c r="B16" s="87" t="s">
        <v>65</v>
      </c>
      <c r="C16" s="87" t="s">
        <v>66</v>
      </c>
      <c r="D16" s="87" t="s">
        <v>67</v>
      </c>
      <c r="E16" s="22"/>
      <c r="F16" s="35">
        <f>5.5*2+11+12+3*3+11+12+3+5+12+10+5.5+5*3+4+6+10</f>
        <v>136.5</v>
      </c>
      <c r="G16" s="35"/>
      <c r="H16" s="7">
        <f t="shared" si="1"/>
        <v>0.48749999999999999</v>
      </c>
      <c r="I16" s="37">
        <f t="shared" si="2"/>
        <v>76.875</v>
      </c>
      <c r="J16" s="21"/>
      <c r="K16" s="21">
        <f t="shared" si="3"/>
        <v>12</v>
      </c>
      <c r="L16" s="21">
        <f t="shared" si="4"/>
        <v>12</v>
      </c>
      <c r="M16" s="20">
        <v>122</v>
      </c>
      <c r="O16" s="44">
        <f t="shared" si="5"/>
        <v>88.875</v>
      </c>
      <c r="P16" s="18">
        <v>7</v>
      </c>
      <c r="Q16" s="17" t="str">
        <f t="shared" si="6"/>
        <v>-</v>
      </c>
      <c r="S16" s="18">
        <f t="shared" si="7"/>
        <v>4</v>
      </c>
      <c r="U16" s="16">
        <v>280</v>
      </c>
      <c r="V16" s="16">
        <v>92</v>
      </c>
    </row>
    <row r="17" spans="1:26" s="5" customFormat="1" ht="19.5" customHeight="1" x14ac:dyDescent="0.15">
      <c r="A17" s="66">
        <v>105</v>
      </c>
      <c r="B17" s="87" t="s">
        <v>81</v>
      </c>
      <c r="C17" s="87" t="s">
        <v>82</v>
      </c>
      <c r="D17" s="87" t="s">
        <v>93</v>
      </c>
      <c r="E17" s="22">
        <v>338391</v>
      </c>
      <c r="F17" s="35">
        <f>5.5+6+13+14+6.5*3+12+14+6*2+12+12+7*2+6.5*3+12+13</f>
        <v>178.5</v>
      </c>
      <c r="G17" s="35"/>
      <c r="H17" s="7">
        <f t="shared" si="1"/>
        <v>0.63749999999999996</v>
      </c>
      <c r="I17" s="37">
        <f t="shared" si="2"/>
        <v>54.375000000000014</v>
      </c>
      <c r="J17" s="21" t="s">
        <v>24</v>
      </c>
      <c r="K17" s="21">
        <f t="shared" si="3"/>
        <v>0</v>
      </c>
      <c r="L17" s="21" t="e">
        <f t="shared" si="4"/>
        <v>#VALUE!</v>
      </c>
      <c r="M17" s="20"/>
      <c r="O17" s="44" t="e">
        <f t="shared" si="5"/>
        <v>#VALUE!</v>
      </c>
      <c r="P17" s="18"/>
      <c r="Q17" s="17" t="str">
        <f t="shared" si="6"/>
        <v>-</v>
      </c>
      <c r="S17" s="18">
        <f t="shared" si="7"/>
        <v>0</v>
      </c>
      <c r="U17" s="16">
        <v>280</v>
      </c>
      <c r="V17" s="16">
        <v>92</v>
      </c>
    </row>
    <row r="18" spans="1:26" s="5" customFormat="1" ht="19.5" customHeight="1" x14ac:dyDescent="0.15">
      <c r="A18" s="66">
        <v>6</v>
      </c>
      <c r="B18" s="87" t="s">
        <v>83</v>
      </c>
      <c r="C18" s="87" t="s">
        <v>84</v>
      </c>
      <c r="D18" s="87" t="s">
        <v>9</v>
      </c>
      <c r="E18" s="22">
        <v>338111</v>
      </c>
      <c r="F18" s="35">
        <f>6+5.5+12*2+5.5+6+4+11+12+5.5*2+12+8+5.5*2+6+6+5.5+10+12</f>
        <v>155.5</v>
      </c>
      <c r="G18" s="35"/>
      <c r="H18" s="7">
        <f t="shared" si="1"/>
        <v>0.55535714285714288</v>
      </c>
      <c r="I18" s="37">
        <f t="shared" si="2"/>
        <v>66.696428571428555</v>
      </c>
      <c r="J18" s="21" t="s">
        <v>24</v>
      </c>
      <c r="K18" s="21">
        <f t="shared" si="3"/>
        <v>0</v>
      </c>
      <c r="L18" s="21" t="e">
        <f t="shared" si="4"/>
        <v>#VALUE!</v>
      </c>
      <c r="M18" s="20"/>
      <c r="O18" s="44" t="e">
        <f t="shared" si="5"/>
        <v>#VALUE!</v>
      </c>
      <c r="P18" s="18"/>
      <c r="Q18" s="17" t="str">
        <f t="shared" si="6"/>
        <v>-</v>
      </c>
      <c r="S18" s="18">
        <f t="shared" si="7"/>
        <v>0</v>
      </c>
      <c r="U18" s="16">
        <v>280</v>
      </c>
      <c r="V18" s="16">
        <v>92</v>
      </c>
    </row>
    <row r="19" spans="1:26" s="5" customFormat="1" ht="19.5" customHeight="1" x14ac:dyDescent="0.15">
      <c r="A19" s="66">
        <v>46</v>
      </c>
      <c r="B19" s="87" t="s">
        <v>99</v>
      </c>
      <c r="C19" s="87" t="s">
        <v>100</v>
      </c>
      <c r="D19" s="87" t="s">
        <v>6</v>
      </c>
      <c r="E19" s="22">
        <v>328966</v>
      </c>
      <c r="F19" s="35">
        <f>5+5.5+10+6+5+5.5+3+11+12+6+5.5+11*2+6+5.5+6+5.5+5+8+11</f>
        <v>143.5</v>
      </c>
      <c r="G19" s="35"/>
      <c r="H19" s="7">
        <f t="shared" si="1"/>
        <v>0.51249999999999996</v>
      </c>
      <c r="I19" s="37">
        <f t="shared" si="2"/>
        <v>73.125000000000014</v>
      </c>
      <c r="J19" s="21" t="s">
        <v>214</v>
      </c>
      <c r="K19" s="21">
        <f t="shared" si="3"/>
        <v>0</v>
      </c>
      <c r="L19" s="21" t="e">
        <f t="shared" si="4"/>
        <v>#VALUE!</v>
      </c>
      <c r="M19" s="20"/>
      <c r="O19" s="44" t="e">
        <f t="shared" si="5"/>
        <v>#VALUE!</v>
      </c>
      <c r="P19" s="18"/>
      <c r="Q19" s="17" t="str">
        <f t="shared" si="6"/>
        <v>-</v>
      </c>
      <c r="S19" s="18">
        <f t="shared" si="7"/>
        <v>0</v>
      </c>
      <c r="U19" s="16">
        <v>280</v>
      </c>
      <c r="V19" s="16">
        <v>92</v>
      </c>
    </row>
    <row r="20" spans="1:26" s="5" customFormat="1" ht="19.5" customHeight="1" x14ac:dyDescent="0.15">
      <c r="A20" s="66">
        <v>8</v>
      </c>
      <c r="B20" s="87" t="s">
        <v>87</v>
      </c>
      <c r="C20" s="87" t="s">
        <v>88</v>
      </c>
      <c r="D20" s="87" t="s">
        <v>6</v>
      </c>
      <c r="E20" s="22"/>
      <c r="F20" s="35" t="s">
        <v>219</v>
      </c>
      <c r="G20" s="35"/>
      <c r="H20" s="7" t="e">
        <f t="shared" si="1"/>
        <v>#DIV/0!</v>
      </c>
      <c r="I20" s="37" t="e">
        <f t="shared" si="2"/>
        <v>#DIV/0!</v>
      </c>
      <c r="J20" s="21" t="s">
        <v>214</v>
      </c>
      <c r="K20" s="21">
        <f t="shared" si="3"/>
        <v>0</v>
      </c>
      <c r="L20" s="21" t="e">
        <f t="shared" si="4"/>
        <v>#VALUE!</v>
      </c>
      <c r="M20" s="20"/>
      <c r="O20" s="44" t="e">
        <f t="shared" si="5"/>
        <v>#DIV/0!</v>
      </c>
      <c r="P20" s="18"/>
      <c r="Q20" s="17" t="str">
        <f t="shared" si="6"/>
        <v>-</v>
      </c>
      <c r="S20" s="18">
        <f t="shared" si="7"/>
        <v>0</v>
      </c>
      <c r="U20" s="16">
        <v>280</v>
      </c>
      <c r="V20" s="16">
        <v>92</v>
      </c>
    </row>
    <row r="21" spans="1:26" ht="20" x14ac:dyDescent="0.2">
      <c r="A21" s="40"/>
      <c r="B21" s="79" t="s">
        <v>159</v>
      </c>
      <c r="C21" s="65"/>
      <c r="D21" s="28"/>
      <c r="E21" s="28"/>
      <c r="F21" s="28"/>
      <c r="G21" s="26"/>
      <c r="H21" s="25"/>
      <c r="I21" s="28"/>
      <c r="J21" s="28"/>
      <c r="K21" s="26"/>
      <c r="L21" s="26"/>
      <c r="M21" s="25"/>
      <c r="O21" s="67"/>
      <c r="P21" s="68"/>
      <c r="Q21" s="24"/>
      <c r="S21" s="23"/>
      <c r="Y21" s="5"/>
      <c r="Z21" s="5"/>
    </row>
    <row r="22" spans="1:26" s="5" customFormat="1" ht="19.5" customHeight="1" x14ac:dyDescent="0.15">
      <c r="A22" s="66">
        <v>23</v>
      </c>
      <c r="B22" s="87" t="s">
        <v>116</v>
      </c>
      <c r="C22" s="87" t="s">
        <v>117</v>
      </c>
      <c r="D22" s="87" t="s">
        <v>9</v>
      </c>
      <c r="E22" s="22">
        <v>338592</v>
      </c>
      <c r="F22" s="35">
        <v>192.5</v>
      </c>
      <c r="G22" s="35">
        <f>7+6.5+13+12+6*2+6.5+16+13+6.5*2+12*2+6.5+6+7+6.5*2+12+13</f>
        <v>180.5</v>
      </c>
      <c r="H22" s="7">
        <f t="shared" ref="H22:H28" si="8">IF(F22=0,0,((AVERAGE(F22:G22))/U22))</f>
        <v>0.66607142857142854</v>
      </c>
      <c r="I22" s="37">
        <f t="shared" ref="I22:I28" si="9">SUM(100-(H22*100))*1.5</f>
        <v>50.08928571428573</v>
      </c>
      <c r="J22" s="21"/>
      <c r="K22" s="21">
        <v>0</v>
      </c>
      <c r="L22" s="21">
        <f t="shared" ref="L22:L28" si="10">K22+J22</f>
        <v>0</v>
      </c>
      <c r="M22" s="20">
        <v>78.22</v>
      </c>
      <c r="O22" s="44">
        <f t="shared" ref="O22:O28" si="11">I22+L22</f>
        <v>50.08928571428573</v>
      </c>
      <c r="P22" s="18">
        <v>1</v>
      </c>
      <c r="Q22" s="17" t="str">
        <f t="shared" ref="Q22:Q28" si="12">IFERROR(IF(OR(P22&gt;10,P22=0),"-",IF(AND((AVERAGE(F22:G22)/U22)&gt;0.55,L22=0),"Q","-")),0)</f>
        <v>Q</v>
      </c>
      <c r="S22" s="18">
        <f t="shared" ref="S22:S28" si="13">IF(P22=0,,IF(P22&gt;10,,11-(P22)))</f>
        <v>10</v>
      </c>
      <c r="U22" s="16">
        <v>280</v>
      </c>
      <c r="V22" s="16">
        <v>92</v>
      </c>
    </row>
    <row r="23" spans="1:26" s="5" customFormat="1" ht="19.5" customHeight="1" x14ac:dyDescent="0.15">
      <c r="A23" s="66">
        <v>48</v>
      </c>
      <c r="B23" s="116" t="s">
        <v>160</v>
      </c>
      <c r="C23" s="87" t="s">
        <v>161</v>
      </c>
      <c r="D23" s="87" t="s">
        <v>162</v>
      </c>
      <c r="E23" s="22">
        <v>341795</v>
      </c>
      <c r="F23" s="35">
        <v>169</v>
      </c>
      <c r="G23" s="35">
        <f>6+6.5+13+12+7+6+7+13+16+6.5+7+14+8+4+6+5.5+6+6.5+13*2</f>
        <v>176</v>
      </c>
      <c r="H23" s="7">
        <f t="shared" si="8"/>
        <v>0.6160714285714286</v>
      </c>
      <c r="I23" s="37">
        <f t="shared" si="9"/>
        <v>57.589285714285708</v>
      </c>
      <c r="J23" s="21"/>
      <c r="K23" s="21">
        <v>3</v>
      </c>
      <c r="L23" s="21">
        <f t="shared" si="10"/>
        <v>3</v>
      </c>
      <c r="M23" s="20">
        <v>82.15</v>
      </c>
      <c r="O23" s="44">
        <f t="shared" si="11"/>
        <v>60.589285714285708</v>
      </c>
      <c r="P23" s="18">
        <v>2</v>
      </c>
      <c r="Q23" s="17" t="str">
        <f t="shared" si="12"/>
        <v>-</v>
      </c>
      <c r="S23" s="18">
        <f t="shared" si="13"/>
        <v>9</v>
      </c>
      <c r="U23" s="16">
        <v>280</v>
      </c>
      <c r="V23" s="16">
        <v>92</v>
      </c>
    </row>
    <row r="24" spans="1:26" s="5" customFormat="1" ht="19.5" customHeight="1" x14ac:dyDescent="0.15">
      <c r="A24" s="66">
        <v>50</v>
      </c>
      <c r="B24" s="87" t="s">
        <v>163</v>
      </c>
      <c r="C24" s="87" t="s">
        <v>164</v>
      </c>
      <c r="D24" s="87" t="s">
        <v>165</v>
      </c>
      <c r="E24" s="22">
        <v>27180</v>
      </c>
      <c r="F24" s="35">
        <f>6.5+6+12*2+6*2+5+13+8+6+5.5+12+13+6*2+6.5*3+12+13</f>
        <v>167.5</v>
      </c>
      <c r="G24" s="35">
        <f>5.5+7+12*2+5+5.5+5+13+10+5.5+6+12*2+6*2+7+6+5+10+12</f>
        <v>162.5</v>
      </c>
      <c r="H24" s="7">
        <f t="shared" si="8"/>
        <v>0.5892857142857143</v>
      </c>
      <c r="I24" s="37">
        <f t="shared" si="9"/>
        <v>61.607142857142854</v>
      </c>
      <c r="J24" s="21"/>
      <c r="K24" s="21"/>
      <c r="L24" s="21">
        <f t="shared" si="10"/>
        <v>0</v>
      </c>
      <c r="M24" s="20">
        <v>97.12</v>
      </c>
      <c r="O24" s="44">
        <f t="shared" si="11"/>
        <v>61.607142857142854</v>
      </c>
      <c r="P24" s="18">
        <v>3</v>
      </c>
      <c r="Q24" s="17" t="str">
        <f t="shared" si="12"/>
        <v>Q</v>
      </c>
      <c r="S24" s="18">
        <f t="shared" si="13"/>
        <v>8</v>
      </c>
      <c r="U24" s="16">
        <v>280</v>
      </c>
      <c r="V24" s="16">
        <v>107</v>
      </c>
    </row>
    <row r="25" spans="1:26" s="5" customFormat="1" ht="19.5" customHeight="1" x14ac:dyDescent="0.2">
      <c r="A25" s="66">
        <v>17</v>
      </c>
      <c r="B25" s="87" t="s">
        <v>103</v>
      </c>
      <c r="C25" s="92" t="s">
        <v>57</v>
      </c>
      <c r="D25" s="92" t="s">
        <v>8</v>
      </c>
      <c r="E25" s="22">
        <v>329211</v>
      </c>
      <c r="F25" s="35">
        <f>6+6.5+13+12+6*2+5+16+12+6.5*2+14+13+6.5+6*3+6.5+12+13</f>
        <v>178.5</v>
      </c>
      <c r="G25" s="35">
        <f>5.5+7+12+14+5.5+6+5.5+12+11+6+7.5+13+14+6.5*4+6+12+13</f>
        <v>176</v>
      </c>
      <c r="H25" s="7">
        <f t="shared" si="8"/>
        <v>0.63303571428571426</v>
      </c>
      <c r="I25" s="37">
        <f t="shared" si="9"/>
        <v>55.044642857142861</v>
      </c>
      <c r="J25" s="21">
        <v>4</v>
      </c>
      <c r="K25" s="21">
        <v>4</v>
      </c>
      <c r="L25" s="21">
        <f t="shared" si="10"/>
        <v>8</v>
      </c>
      <c r="M25" s="20">
        <v>89.69</v>
      </c>
      <c r="O25" s="44">
        <f t="shared" si="11"/>
        <v>63.044642857142861</v>
      </c>
      <c r="P25" s="18">
        <v>4</v>
      </c>
      <c r="Q25" s="17" t="str">
        <f t="shared" si="12"/>
        <v>-</v>
      </c>
      <c r="S25" s="18">
        <f t="shared" si="13"/>
        <v>7</v>
      </c>
      <c r="U25" s="16">
        <v>280</v>
      </c>
      <c r="V25" s="16">
        <v>92</v>
      </c>
    </row>
    <row r="26" spans="1:26" s="5" customFormat="1" ht="19.5" customHeight="1" x14ac:dyDescent="0.15">
      <c r="A26" s="66">
        <v>18</v>
      </c>
      <c r="B26" s="116" t="s">
        <v>224</v>
      </c>
      <c r="C26" s="87" t="s">
        <v>105</v>
      </c>
      <c r="D26" s="87" t="s">
        <v>8</v>
      </c>
      <c r="E26" s="22" t="s">
        <v>216</v>
      </c>
      <c r="F26" s="35">
        <v>186</v>
      </c>
      <c r="G26" s="35">
        <f>6*2+12+13+6*2+5.5+9+10+6+6.5+13*2+6+6.5+6*3+12*2</f>
        <v>166.5</v>
      </c>
      <c r="H26" s="7">
        <f t="shared" si="8"/>
        <v>0.6294642857142857</v>
      </c>
      <c r="I26" s="37">
        <f t="shared" si="9"/>
        <v>55.580357142857146</v>
      </c>
      <c r="J26" s="21">
        <v>8</v>
      </c>
      <c r="K26" s="21">
        <v>1</v>
      </c>
      <c r="L26" s="21">
        <f t="shared" si="10"/>
        <v>9</v>
      </c>
      <c r="M26" s="20">
        <v>85.78</v>
      </c>
      <c r="O26" s="44">
        <f t="shared" si="11"/>
        <v>64.580357142857139</v>
      </c>
      <c r="P26" s="18">
        <v>5</v>
      </c>
      <c r="Q26" s="17" t="str">
        <f t="shared" si="12"/>
        <v>-</v>
      </c>
      <c r="S26" s="18">
        <f t="shared" si="13"/>
        <v>6</v>
      </c>
      <c r="U26" s="16">
        <v>280</v>
      </c>
      <c r="V26" s="16">
        <v>92</v>
      </c>
    </row>
    <row r="27" spans="1:26" s="5" customFormat="1" ht="19.5" customHeight="1" x14ac:dyDescent="0.15">
      <c r="A27" s="66">
        <v>21</v>
      </c>
      <c r="B27" s="87" t="s">
        <v>109</v>
      </c>
      <c r="C27" s="87" t="s">
        <v>213</v>
      </c>
      <c r="D27" s="87" t="s">
        <v>9</v>
      </c>
      <c r="E27" s="22">
        <v>338893</v>
      </c>
      <c r="F27" s="35">
        <f>6+6.5+13+10+6*2+5+13+12+6.5+6+13+12+6*3+6.5+6+12+13</f>
        <v>170.5</v>
      </c>
      <c r="G27" s="35">
        <f>6.5*2+13+9+6+4.5+6+11+12+5.5*2+12+11+5.5*5+11+12</f>
        <v>159</v>
      </c>
      <c r="H27" s="7">
        <f t="shared" si="8"/>
        <v>0.58839285714285716</v>
      </c>
      <c r="I27" s="37">
        <f t="shared" si="9"/>
        <v>61.741071428571431</v>
      </c>
      <c r="J27" s="21"/>
      <c r="K27" s="21">
        <v>6</v>
      </c>
      <c r="L27" s="21">
        <f t="shared" si="10"/>
        <v>6</v>
      </c>
      <c r="M27" s="20">
        <v>70.66</v>
      </c>
      <c r="O27" s="44">
        <f t="shared" si="11"/>
        <v>67.741071428571431</v>
      </c>
      <c r="P27" s="18">
        <v>6</v>
      </c>
      <c r="Q27" s="17" t="str">
        <f t="shared" si="12"/>
        <v>-</v>
      </c>
      <c r="S27" s="18">
        <f t="shared" si="13"/>
        <v>5</v>
      </c>
      <c r="U27" s="16">
        <v>280</v>
      </c>
      <c r="V27" s="16">
        <v>92</v>
      </c>
    </row>
    <row r="28" spans="1:26" s="5" customFormat="1" ht="19.5" customHeight="1" x14ac:dyDescent="0.15">
      <c r="A28" s="66">
        <v>114</v>
      </c>
      <c r="B28" s="87" t="s">
        <v>97</v>
      </c>
      <c r="C28" s="87" t="s">
        <v>98</v>
      </c>
      <c r="D28" s="87" t="s">
        <v>92</v>
      </c>
      <c r="E28" s="22">
        <v>341445</v>
      </c>
      <c r="F28" s="35">
        <v>176</v>
      </c>
      <c r="G28" s="35">
        <f>6*2+11+13+6*2+5.5+13+11+6+5.5+12*2+6*2+5.5+6+6.5+12+13</f>
        <v>168</v>
      </c>
      <c r="H28" s="7">
        <f t="shared" si="8"/>
        <v>0.61428571428571432</v>
      </c>
      <c r="I28" s="37">
        <f t="shared" si="9"/>
        <v>57.857142857142854</v>
      </c>
      <c r="J28" s="21" t="s">
        <v>214</v>
      </c>
      <c r="K28" s="21">
        <v>2</v>
      </c>
      <c r="L28" s="21" t="e">
        <f t="shared" si="10"/>
        <v>#VALUE!</v>
      </c>
      <c r="M28" s="20"/>
      <c r="O28" s="44" t="e">
        <f t="shared" si="11"/>
        <v>#VALUE!</v>
      </c>
      <c r="P28" s="18"/>
      <c r="Q28" s="17" t="str">
        <f t="shared" si="12"/>
        <v>-</v>
      </c>
      <c r="S28" s="18">
        <f t="shared" si="13"/>
        <v>0</v>
      </c>
      <c r="U28" s="16">
        <v>280</v>
      </c>
      <c r="V28" s="16">
        <v>92</v>
      </c>
    </row>
    <row r="29" spans="1:26" s="5" customFormat="1" ht="19.5" customHeight="1" x14ac:dyDescent="0.15">
      <c r="A29" s="66"/>
      <c r="B29" s="80"/>
      <c r="C29" s="64"/>
      <c r="D29" s="80"/>
      <c r="E29" s="22"/>
      <c r="F29" s="35"/>
      <c r="G29" s="35"/>
      <c r="H29" s="7">
        <f t="shared" ref="H29" si="14">IF(F29=0,0,((AVERAGE(F29:G29))/U29))</f>
        <v>0</v>
      </c>
      <c r="I29" s="37">
        <f t="shared" ref="I29" si="15">SUM(100-(H29*100))*1.5</f>
        <v>150</v>
      </c>
      <c r="J29" s="21"/>
      <c r="K29" s="21">
        <v>7</v>
      </c>
      <c r="L29" s="21">
        <f t="shared" ref="L29" si="16">K29+J29</f>
        <v>7</v>
      </c>
      <c r="M29" s="20"/>
      <c r="O29" s="44">
        <f t="shared" ref="O29" si="17">I29+L29</f>
        <v>157</v>
      </c>
      <c r="P29" s="18"/>
      <c r="Q29" s="17" t="str">
        <f t="shared" ref="Q29" si="18">IFERROR(IF(OR(P29&gt;10,P29=0),"-",IF(AND((AVERAGE(F29:G29)/U29)&gt;0.55,L29=0),"Q","-")),0)</f>
        <v>-</v>
      </c>
      <c r="S29" s="18">
        <f t="shared" ref="S29" si="19">IF(P29=0,,IF(P29&gt;10,,11-(P29)))</f>
        <v>0</v>
      </c>
      <c r="U29" s="16">
        <v>280</v>
      </c>
      <c r="V29" s="16">
        <v>92</v>
      </c>
    </row>
    <row r="30" spans="1:26" s="5" customFormat="1" ht="19.5" customHeight="1" x14ac:dyDescent="0.2">
      <c r="A30" s="43"/>
      <c r="B30" s="79" t="s">
        <v>152</v>
      </c>
      <c r="C30" s="41"/>
      <c r="D30" s="27"/>
      <c r="E30" s="27"/>
      <c r="F30" s="28"/>
      <c r="G30" s="26"/>
      <c r="H30" s="25"/>
      <c r="I30" s="28"/>
      <c r="J30" s="28"/>
      <c r="K30" s="26"/>
      <c r="L30" s="26"/>
      <c r="M30" s="25"/>
      <c r="N30"/>
      <c r="O30" s="28"/>
      <c r="P30" s="25"/>
      <c r="Q30" s="24"/>
      <c r="R30"/>
      <c r="S30" s="23"/>
      <c r="T30"/>
      <c r="U30"/>
      <c r="V30" s="16"/>
    </row>
    <row r="31" spans="1:26" s="5" customFormat="1" ht="19.5" customHeight="1" x14ac:dyDescent="0.15">
      <c r="A31" s="66">
        <v>56</v>
      </c>
      <c r="B31" s="87" t="s">
        <v>174</v>
      </c>
      <c r="C31" s="87" t="s">
        <v>175</v>
      </c>
      <c r="D31" s="87" t="s">
        <v>179</v>
      </c>
      <c r="E31" s="94">
        <v>332671</v>
      </c>
      <c r="F31" s="35">
        <f>6+6.5+15+13+6.5*2+5+12*2+6.5+7+16+13+7+7.5+6.5+7+6.5+13+14</f>
        <v>186.5</v>
      </c>
      <c r="G31" s="35">
        <f>7+7.5+16+13+6+7+6+16+12+6.5*2+16+15+6.5+7+6.5+7.5+7+15+14</f>
        <v>198</v>
      </c>
      <c r="H31" s="7">
        <f t="shared" ref="H31:H40" si="20">IF(F31=0,0,((AVERAGE(F31:G31))/U31))</f>
        <v>0.68660714285714286</v>
      </c>
      <c r="I31" s="37">
        <f t="shared" ref="I31:I40" si="21">SUM(100-(H31*100))*1.5</f>
        <v>47.008928571428562</v>
      </c>
      <c r="J31" s="21"/>
      <c r="K31" s="21"/>
      <c r="L31" s="21">
        <f t="shared" ref="L31:L40" si="22">K31+J31</f>
        <v>0</v>
      </c>
      <c r="M31" s="20">
        <v>113</v>
      </c>
      <c r="O31" s="44">
        <f t="shared" ref="O31:O40" si="23">I31+L31</f>
        <v>47.008928571428562</v>
      </c>
      <c r="P31" s="18">
        <v>1</v>
      </c>
      <c r="Q31" s="17" t="str">
        <f t="shared" ref="Q31:Q40" si="24">IFERROR(IF(OR(P31&gt;10,P31=0),"-",IF(AND((AVERAGE(F31:G31)/U31)&gt;0.55,L31=0),"Q","-")),0)</f>
        <v>Q</v>
      </c>
      <c r="S31" s="18">
        <f t="shared" ref="S31:S40" si="25">IF(P31=0,,IF(P31&gt;10,,11-(P31)))</f>
        <v>10</v>
      </c>
      <c r="U31" s="16">
        <v>280</v>
      </c>
      <c r="V31" s="16">
        <v>116</v>
      </c>
    </row>
    <row r="32" spans="1:26" s="5" customFormat="1" ht="19.5" customHeight="1" x14ac:dyDescent="0.15">
      <c r="A32" s="66">
        <v>58</v>
      </c>
      <c r="B32" s="87" t="s">
        <v>176</v>
      </c>
      <c r="C32" s="87" t="s">
        <v>177</v>
      </c>
      <c r="D32" s="87" t="s">
        <v>180</v>
      </c>
      <c r="E32" s="22">
        <v>12324</v>
      </c>
      <c r="F32" s="35">
        <f>6.5*2+14+12+6.5+6+5+12+13+6+6.5+14+13+6.5*2+5.5+7+6+13+14</f>
        <v>179.5</v>
      </c>
      <c r="G32" s="35">
        <f>7.5*2+13*2+6.5*3+14+13+6.5+7+15*2+7*2+7.5+7*2+14*2</f>
        <v>194.5</v>
      </c>
      <c r="H32" s="7">
        <f t="shared" si="20"/>
        <v>0.66785714285714282</v>
      </c>
      <c r="I32" s="37">
        <f t="shared" si="21"/>
        <v>49.821428571428584</v>
      </c>
      <c r="J32" s="21"/>
      <c r="K32" s="21"/>
      <c r="L32" s="21">
        <f t="shared" si="22"/>
        <v>0</v>
      </c>
      <c r="M32" s="20">
        <v>110</v>
      </c>
      <c r="O32" s="44">
        <f t="shared" si="23"/>
        <v>49.821428571428584</v>
      </c>
      <c r="P32" s="18">
        <v>2</v>
      </c>
      <c r="Q32" s="17" t="str">
        <f t="shared" si="24"/>
        <v>Q</v>
      </c>
      <c r="S32" s="18">
        <f t="shared" si="25"/>
        <v>9</v>
      </c>
      <c r="U32" s="16">
        <v>280</v>
      </c>
      <c r="V32" s="16">
        <v>116</v>
      </c>
    </row>
    <row r="33" spans="1:26" s="5" customFormat="1" ht="19.5" customHeight="1" x14ac:dyDescent="0.15">
      <c r="A33" s="66">
        <v>25</v>
      </c>
      <c r="B33" s="116" t="s">
        <v>230</v>
      </c>
      <c r="C33" s="87" t="s">
        <v>120</v>
      </c>
      <c r="D33" s="87" t="s">
        <v>92</v>
      </c>
      <c r="E33" s="22">
        <v>338072</v>
      </c>
      <c r="F33" s="35">
        <f>5.5+7+14+13+6.5+7+6.5+12*2+7+6.5+13+12+7.5+6+7.5+7.5+6.5+13+14</f>
        <v>184</v>
      </c>
      <c r="G33" s="35">
        <f>6.5*2+13*2+6.5*2+7+14+13+6+7+14*2+6.5*2+7*3+14*2</f>
        <v>189</v>
      </c>
      <c r="H33" s="7">
        <f t="shared" si="20"/>
        <v>0.66607142857142854</v>
      </c>
      <c r="I33" s="37">
        <f t="shared" si="21"/>
        <v>50.08928571428573</v>
      </c>
      <c r="J33" s="21"/>
      <c r="K33" s="21"/>
      <c r="L33" s="21">
        <f t="shared" si="22"/>
        <v>0</v>
      </c>
      <c r="M33" s="20">
        <v>108.2</v>
      </c>
      <c r="O33" s="44">
        <f t="shared" si="23"/>
        <v>50.08928571428573</v>
      </c>
      <c r="P33" s="18">
        <v>3</v>
      </c>
      <c r="Q33" s="17" t="str">
        <f t="shared" si="24"/>
        <v>Q</v>
      </c>
      <c r="S33" s="18">
        <f t="shared" si="25"/>
        <v>8</v>
      </c>
      <c r="U33" s="16">
        <v>280</v>
      </c>
      <c r="V33" s="16">
        <v>116</v>
      </c>
    </row>
    <row r="34" spans="1:26" s="5" customFormat="1" ht="19.5" customHeight="1" x14ac:dyDescent="0.15">
      <c r="A34" s="66">
        <v>54</v>
      </c>
      <c r="B34" s="87" t="s">
        <v>172</v>
      </c>
      <c r="C34" s="87" t="s">
        <v>173</v>
      </c>
      <c r="D34" s="87" t="s">
        <v>158</v>
      </c>
      <c r="E34" s="22">
        <v>22362</v>
      </c>
      <c r="F34" s="35">
        <f>6.5+6+13+12+5.5+6*2+13+11+6.5*2+12+13+5.5+6+7+6.5+6+13+14</f>
        <v>175</v>
      </c>
      <c r="G34" s="35">
        <f>6.5+7+15+14+6+6.5+6+14+12+6.5+7.5+12+14+6.5+7+7.5+7*2+13+14</f>
        <v>189</v>
      </c>
      <c r="H34" s="7">
        <f t="shared" si="20"/>
        <v>0.65</v>
      </c>
      <c r="I34" s="37">
        <f t="shared" si="21"/>
        <v>52.5</v>
      </c>
      <c r="J34" s="21"/>
      <c r="K34" s="21"/>
      <c r="L34" s="21">
        <f t="shared" si="22"/>
        <v>0</v>
      </c>
      <c r="M34" s="20">
        <v>104.5</v>
      </c>
      <c r="O34" s="44">
        <f t="shared" si="23"/>
        <v>52.5</v>
      </c>
      <c r="P34" s="18">
        <v>4</v>
      </c>
      <c r="Q34" s="17" t="str">
        <f t="shared" si="24"/>
        <v>Q</v>
      </c>
      <c r="S34" s="18">
        <f t="shared" si="25"/>
        <v>7</v>
      </c>
      <c r="U34" s="16">
        <v>280</v>
      </c>
      <c r="V34" s="16">
        <v>116</v>
      </c>
    </row>
    <row r="35" spans="1:26" s="5" customFormat="1" ht="19.5" customHeight="1" x14ac:dyDescent="0.15">
      <c r="A35" s="66">
        <v>51</v>
      </c>
      <c r="B35" s="87" t="s">
        <v>166</v>
      </c>
      <c r="C35" s="87" t="s">
        <v>167</v>
      </c>
      <c r="D35" s="87" t="s">
        <v>132</v>
      </c>
      <c r="E35" s="94">
        <v>342155</v>
      </c>
      <c r="F35" s="35">
        <f>6*2+13+9+4.5+5*2+13+11+6*2+13+12+6+5.5+6+6.5+6+9+13</f>
        <v>161.5</v>
      </c>
      <c r="G35" s="35">
        <f>5.5*2+11+8+4+5.5+5+12*2+5.5*2+13*2+6+5*4+11*2</f>
        <v>153.5</v>
      </c>
      <c r="H35" s="7">
        <f t="shared" si="20"/>
        <v>0.5625</v>
      </c>
      <c r="I35" s="37">
        <f t="shared" si="21"/>
        <v>65.625</v>
      </c>
      <c r="J35" s="21"/>
      <c r="K35" s="21"/>
      <c r="L35" s="21">
        <f t="shared" si="22"/>
        <v>0</v>
      </c>
      <c r="M35" s="20">
        <v>99</v>
      </c>
      <c r="O35" s="44">
        <f t="shared" si="23"/>
        <v>65.625</v>
      </c>
      <c r="P35" s="18">
        <v>5</v>
      </c>
      <c r="Q35" s="17" t="str">
        <f t="shared" si="24"/>
        <v>Q</v>
      </c>
      <c r="S35" s="18">
        <f t="shared" si="25"/>
        <v>6</v>
      </c>
      <c r="U35" s="16">
        <v>280</v>
      </c>
      <c r="V35" s="16">
        <v>116</v>
      </c>
    </row>
    <row r="36" spans="1:26" s="5" customFormat="1" ht="19.5" customHeight="1" x14ac:dyDescent="0.15">
      <c r="A36" s="66">
        <v>52</v>
      </c>
      <c r="B36" s="87" t="s">
        <v>168</v>
      </c>
      <c r="C36" s="87" t="s">
        <v>169</v>
      </c>
      <c r="D36" s="87" t="s">
        <v>107</v>
      </c>
      <c r="E36" s="22">
        <v>331728</v>
      </c>
      <c r="F36" s="35">
        <f>6.5*2+13*2+6*2+6.5+13+11+6.5*2+13*2+6.5+7.5+6.5+7+6+13*2</f>
        <v>180</v>
      </c>
      <c r="G36" s="35">
        <f>6.5+7.5+14+12+6+6.5+7.5+14+12+6+7+14+15+7*2+6+7*2+14*2</f>
        <v>190</v>
      </c>
      <c r="H36" s="7">
        <f t="shared" si="20"/>
        <v>0.6607142857142857</v>
      </c>
      <c r="I36" s="37">
        <f t="shared" si="21"/>
        <v>50.892857142857146</v>
      </c>
      <c r="J36" s="21">
        <v>4</v>
      </c>
      <c r="K36" s="21">
        <v>11.6</v>
      </c>
      <c r="L36" s="21">
        <f t="shared" si="22"/>
        <v>15.6</v>
      </c>
      <c r="M36" s="20">
        <v>144.5</v>
      </c>
      <c r="O36" s="44">
        <f t="shared" si="23"/>
        <v>66.492857142857147</v>
      </c>
      <c r="P36" s="18">
        <v>6</v>
      </c>
      <c r="Q36" s="17" t="str">
        <f t="shared" si="24"/>
        <v>-</v>
      </c>
      <c r="S36" s="18">
        <f t="shared" si="25"/>
        <v>5</v>
      </c>
      <c r="U36" s="16">
        <v>280</v>
      </c>
      <c r="V36" s="16">
        <v>116</v>
      </c>
    </row>
    <row r="37" spans="1:26" s="5" customFormat="1" ht="19.5" customHeight="1" x14ac:dyDescent="0.15">
      <c r="A37" s="66">
        <v>149</v>
      </c>
      <c r="B37" s="87" t="s">
        <v>124</v>
      </c>
      <c r="C37" s="87" t="s">
        <v>183</v>
      </c>
      <c r="D37" s="87" t="s">
        <v>92</v>
      </c>
      <c r="E37" s="22">
        <v>339718</v>
      </c>
      <c r="F37" s="35">
        <f>5.5*2+11+13+6*2+5.5+10+12+6*2+12+11+5.5+6+5.5+6+5+10+13-2</f>
        <v>158.5</v>
      </c>
      <c r="G37" s="35">
        <f>5+5.5+12*2+6+5.5+3+12+11+6+7+14+12+6+5.5+6.5+6*2+12*2-2</f>
        <v>163</v>
      </c>
      <c r="H37" s="7">
        <f t="shared" si="20"/>
        <v>0.57410714285714282</v>
      </c>
      <c r="I37" s="37">
        <f t="shared" si="21"/>
        <v>63.883928571428569</v>
      </c>
      <c r="J37" s="21">
        <v>4</v>
      </c>
      <c r="K37" s="21"/>
      <c r="L37" s="21">
        <f t="shared" si="22"/>
        <v>4</v>
      </c>
      <c r="M37" s="20">
        <v>113</v>
      </c>
      <c r="O37" s="44">
        <f t="shared" si="23"/>
        <v>67.883928571428569</v>
      </c>
      <c r="P37" s="18">
        <v>7</v>
      </c>
      <c r="Q37" s="17" t="str">
        <f t="shared" si="24"/>
        <v>-</v>
      </c>
      <c r="S37" s="18">
        <f t="shared" si="25"/>
        <v>4</v>
      </c>
      <c r="U37" s="16">
        <v>280</v>
      </c>
      <c r="V37" s="16">
        <v>116</v>
      </c>
    </row>
    <row r="38" spans="1:26" s="5" customFormat="1" ht="19.5" customHeight="1" x14ac:dyDescent="0.15">
      <c r="A38" s="66">
        <v>20</v>
      </c>
      <c r="B38" s="116" t="s">
        <v>225</v>
      </c>
      <c r="C38" s="87" t="s">
        <v>108</v>
      </c>
      <c r="D38" s="87" t="s">
        <v>67</v>
      </c>
      <c r="E38" s="22">
        <v>336733</v>
      </c>
      <c r="F38" s="35">
        <f>6.5+6+13*2+6.5+5.5+5+12*2+6+6.5+13+12+6+6.5*3+6+13*2</f>
        <v>174.5</v>
      </c>
      <c r="G38" s="35">
        <f>5.5+6+15+14+6*2+5.5+13+12+6*2+13+14+6.5*2+6+6.5*2+13+12</f>
        <v>179</v>
      </c>
      <c r="H38" s="7">
        <f t="shared" si="20"/>
        <v>0.63124999999999998</v>
      </c>
      <c r="I38" s="37">
        <f t="shared" si="21"/>
        <v>55.3125</v>
      </c>
      <c r="J38" s="21" t="s">
        <v>24</v>
      </c>
      <c r="K38" s="21"/>
      <c r="L38" s="21" t="e">
        <f t="shared" si="22"/>
        <v>#VALUE!</v>
      </c>
      <c r="M38" s="20"/>
      <c r="O38" s="44" t="e">
        <f t="shared" si="23"/>
        <v>#VALUE!</v>
      </c>
      <c r="P38" s="18"/>
      <c r="Q38" s="17" t="str">
        <f t="shared" si="24"/>
        <v>-</v>
      </c>
      <c r="S38" s="18">
        <f t="shared" si="25"/>
        <v>0</v>
      </c>
      <c r="U38" s="16">
        <v>280</v>
      </c>
      <c r="V38" s="16">
        <v>116</v>
      </c>
    </row>
    <row r="39" spans="1:26" s="5" customFormat="1" ht="19.5" customHeight="1" x14ac:dyDescent="0.15">
      <c r="A39" s="66">
        <v>53</v>
      </c>
      <c r="B39" s="87" t="s">
        <v>170</v>
      </c>
      <c r="C39" s="87" t="s">
        <v>171</v>
      </c>
      <c r="D39" s="87" t="s">
        <v>178</v>
      </c>
      <c r="E39" s="22"/>
      <c r="F39" s="35" t="s">
        <v>214</v>
      </c>
      <c r="G39" s="35"/>
      <c r="H39" s="7" t="e">
        <f t="shared" si="20"/>
        <v>#DIV/0!</v>
      </c>
      <c r="I39" s="37" t="e">
        <f t="shared" si="21"/>
        <v>#DIV/0!</v>
      </c>
      <c r="J39" s="21" t="s">
        <v>214</v>
      </c>
      <c r="K39" s="21"/>
      <c r="L39" s="21" t="e">
        <f t="shared" si="22"/>
        <v>#VALUE!</v>
      </c>
      <c r="M39" s="20"/>
      <c r="O39" s="44" t="e">
        <f t="shared" si="23"/>
        <v>#DIV/0!</v>
      </c>
      <c r="P39" s="18"/>
      <c r="Q39" s="17" t="str">
        <f t="shared" si="24"/>
        <v>-</v>
      </c>
      <c r="S39" s="18">
        <f t="shared" si="25"/>
        <v>0</v>
      </c>
      <c r="U39" s="16">
        <v>280</v>
      </c>
      <c r="V39" s="16">
        <v>116</v>
      </c>
    </row>
    <row r="40" spans="1:26" s="5" customFormat="1" ht="19.5" customHeight="1" x14ac:dyDescent="0.15">
      <c r="A40" s="66">
        <v>27</v>
      </c>
      <c r="B40" s="87" t="s">
        <v>231</v>
      </c>
      <c r="C40" s="87" t="s">
        <v>123</v>
      </c>
      <c r="D40" s="87" t="s">
        <v>92</v>
      </c>
      <c r="E40" s="22"/>
      <c r="F40" s="35" t="s">
        <v>218</v>
      </c>
      <c r="G40" s="35"/>
      <c r="H40" s="7" t="e">
        <f t="shared" si="20"/>
        <v>#DIV/0!</v>
      </c>
      <c r="I40" s="37" t="e">
        <f t="shared" si="21"/>
        <v>#DIV/0!</v>
      </c>
      <c r="J40" s="21" t="s">
        <v>214</v>
      </c>
      <c r="K40" s="21"/>
      <c r="L40" s="21" t="e">
        <f t="shared" si="22"/>
        <v>#VALUE!</v>
      </c>
      <c r="M40" s="20"/>
      <c r="O40" s="44" t="e">
        <f t="shared" si="23"/>
        <v>#DIV/0!</v>
      </c>
      <c r="P40" s="18"/>
      <c r="Q40" s="17" t="str">
        <f t="shared" si="24"/>
        <v>-</v>
      </c>
      <c r="S40" s="18">
        <f t="shared" si="25"/>
        <v>0</v>
      </c>
      <c r="U40" s="16">
        <v>280</v>
      </c>
      <c r="V40" s="16">
        <v>116</v>
      </c>
    </row>
    <row r="41" spans="1:26" s="5" customFormat="1" ht="19.5" customHeight="1" x14ac:dyDescent="0.15">
      <c r="A41" s="66"/>
      <c r="B41" s="64"/>
      <c r="C41" s="64"/>
      <c r="D41" s="64"/>
      <c r="E41" s="22"/>
      <c r="F41" s="35"/>
      <c r="G41" s="35"/>
      <c r="H41" s="7">
        <f t="shared" ref="H41" si="26">IF(F41=0,0,((AVERAGE(F41:G41))/U41))</f>
        <v>0</v>
      </c>
      <c r="I41" s="37">
        <f t="shared" ref="I41" si="27">SUM(100-(H41*100))*1.5</f>
        <v>150</v>
      </c>
      <c r="J41" s="21"/>
      <c r="K41" s="21"/>
      <c r="L41" s="21">
        <f t="shared" ref="L41" si="28">K41+J41</f>
        <v>0</v>
      </c>
      <c r="M41" s="20"/>
      <c r="O41" s="44">
        <f t="shared" ref="O41" si="29">I41+L41</f>
        <v>150</v>
      </c>
      <c r="P41" s="18"/>
      <c r="Q41" s="17" t="str">
        <f t="shared" ref="Q41" si="30">IFERROR(IF(OR(P41&gt;10,P41=0),"-",IF(AND((AVERAGE(F41:G41)/U41)&gt;0.55,L41=0),"Q","-")),0)</f>
        <v>-</v>
      </c>
      <c r="S41" s="18">
        <f t="shared" ref="S41" si="31">IF(P41=0,,IF(P41&gt;10,,11-(P41)))</f>
        <v>0</v>
      </c>
      <c r="U41" s="16">
        <v>280</v>
      </c>
      <c r="V41" s="16">
        <v>116</v>
      </c>
    </row>
    <row r="42" spans="1:26" ht="20" x14ac:dyDescent="0.2">
      <c r="A42" s="40"/>
      <c r="B42" s="79" t="s">
        <v>181</v>
      </c>
      <c r="C42" s="65"/>
      <c r="D42" s="28"/>
      <c r="E42" s="28"/>
      <c r="F42" s="28"/>
      <c r="G42" s="26"/>
      <c r="H42" s="25"/>
      <c r="I42" s="28"/>
      <c r="J42" s="28"/>
      <c r="K42" s="26"/>
      <c r="L42" s="26"/>
      <c r="M42" s="25"/>
      <c r="O42" s="28"/>
      <c r="P42" s="25"/>
      <c r="Q42" s="23"/>
      <c r="S42" s="23"/>
      <c r="Y42" s="5"/>
      <c r="Z42" s="5"/>
    </row>
    <row r="43" spans="1:26" s="5" customFormat="1" ht="19.5" customHeight="1" x14ac:dyDescent="0.2">
      <c r="A43" s="66">
        <v>26</v>
      </c>
      <c r="B43" s="87" t="s">
        <v>121</v>
      </c>
      <c r="C43" s="87" t="s">
        <v>122</v>
      </c>
      <c r="D43" s="91" t="s">
        <v>92</v>
      </c>
      <c r="E43" s="22">
        <v>11133</v>
      </c>
      <c r="F43" s="35">
        <f>6+6.5+7+12+6+14+15+12+6*2+12+6+6+4.5+7.5+6.5*2+13*2</f>
        <v>165.5</v>
      </c>
      <c r="G43" s="35">
        <f>7*3+16+7+14+13+11+5.5+6+12+6+7*2+6+6.5*2+14+13</f>
        <v>171.5</v>
      </c>
      <c r="H43" s="7">
        <f>IF(F43=0,0,((AVERAGE(F43:G43))/U43))</f>
        <v>0.64807692307692311</v>
      </c>
      <c r="I43" s="37">
        <f>SUM(100-(H43*100))*1.5</f>
        <v>52.78846153846154</v>
      </c>
      <c r="J43" s="21"/>
      <c r="K43" s="21">
        <f>IF(($V43&gt;M43),0,((M43-V43)*0.4))</f>
        <v>0</v>
      </c>
      <c r="L43" s="21">
        <f>K43+J43</f>
        <v>0</v>
      </c>
      <c r="M43" s="20">
        <v>102</v>
      </c>
      <c r="O43" s="44">
        <f>I43+L43</f>
        <v>52.78846153846154</v>
      </c>
      <c r="P43" s="18">
        <v>1</v>
      </c>
      <c r="Q43" s="17" t="str">
        <f>IFERROR(IF(OR(P43&gt;10,P43=0),"-",IF(AND((AVERAGE(F43:G43)/U43)&gt;0.55,L43=0),"Q","-")),0)</f>
        <v>Q</v>
      </c>
      <c r="S43" s="18">
        <f>IF(P43=0,,IF(P43&gt;10,,11-(P43)))</f>
        <v>10</v>
      </c>
      <c r="U43" s="16">
        <v>260</v>
      </c>
      <c r="V43" s="16">
        <v>116</v>
      </c>
    </row>
    <row r="44" spans="1:26" s="5" customFormat="1" ht="19.5" customHeight="1" x14ac:dyDescent="0.15">
      <c r="A44" s="66">
        <v>124</v>
      </c>
      <c r="B44" s="87" t="s">
        <v>118</v>
      </c>
      <c r="C44" s="87" t="s">
        <v>119</v>
      </c>
      <c r="D44" s="87" t="s">
        <v>8</v>
      </c>
      <c r="E44" s="22">
        <v>329996</v>
      </c>
      <c r="F44" s="35">
        <f>6.5*3+14+6+13+14+13+6.5+7+16+7.5+7+6.5+7+7+6.5+13+14</f>
        <v>177.5</v>
      </c>
      <c r="G44" s="35">
        <f>7+6.5*2+13+6.5+12+14+13+7*2+14+6.5+6+6.5+6+6.5*2+14+13</f>
        <v>171.5</v>
      </c>
      <c r="H44" s="7">
        <f>IF(F44=0,0,((AVERAGE(F44:G44))/U44))</f>
        <v>0.6711538461538461</v>
      </c>
      <c r="I44" s="37">
        <f>SUM(100-(H44*100))*1.5</f>
        <v>49.32692307692308</v>
      </c>
      <c r="J44" s="21">
        <v>4</v>
      </c>
      <c r="K44" s="21">
        <f>IF(($V44&gt;M44),0,((M44-V44)*0.4))</f>
        <v>0</v>
      </c>
      <c r="L44" s="21">
        <f>K44+J44</f>
        <v>4</v>
      </c>
      <c r="M44" s="20">
        <v>103</v>
      </c>
      <c r="O44" s="44">
        <f>I44+L44</f>
        <v>53.32692307692308</v>
      </c>
      <c r="P44" s="18">
        <v>2</v>
      </c>
      <c r="Q44" s="17" t="s">
        <v>238</v>
      </c>
      <c r="S44" s="18">
        <f>IF(P44=0,,IF(P44&gt;10,,11-(P44)))</f>
        <v>9</v>
      </c>
      <c r="U44" s="16">
        <v>260</v>
      </c>
      <c r="V44" s="16">
        <v>116</v>
      </c>
    </row>
    <row r="45" spans="1:26" s="113" customFormat="1" ht="19.5" customHeight="1" x14ac:dyDescent="0.15">
      <c r="A45" s="106">
        <v>59</v>
      </c>
      <c r="B45" s="98" t="s">
        <v>237</v>
      </c>
      <c r="C45" s="98" t="s">
        <v>182</v>
      </c>
      <c r="D45" s="98" t="s">
        <v>6</v>
      </c>
      <c r="E45" s="94">
        <v>329331</v>
      </c>
      <c r="F45" s="108">
        <f>7.5*2+6.5+11+5+13+12+11+6*2+12+6+6+6.5+6+6.5+6+13*2</f>
        <v>160.5</v>
      </c>
      <c r="G45" s="108">
        <f>7*3+12+6+13+12+12+6+6.5+13+4+6*5+13*2</f>
        <v>161.5</v>
      </c>
      <c r="H45" s="109">
        <f>IF(F45=0,0,((AVERAGE(F45:G45))/U45))</f>
        <v>0.61923076923076925</v>
      </c>
      <c r="I45" s="110">
        <f>SUM(100-(H45*100))*1.5</f>
        <v>57.115384615384613</v>
      </c>
      <c r="J45" s="111"/>
      <c r="K45" s="111">
        <f>IF(($V45&gt;M45),0,((M45-V45)*0.4))</f>
        <v>0</v>
      </c>
      <c r="L45" s="111">
        <f>K45+J45</f>
        <v>0</v>
      </c>
      <c r="M45" s="112">
        <v>104.4</v>
      </c>
      <c r="O45" s="114">
        <f>I45+L45</f>
        <v>57.115384615384613</v>
      </c>
      <c r="P45" s="94"/>
      <c r="Q45" s="94" t="s">
        <v>238</v>
      </c>
      <c r="S45" s="94">
        <f>IF(P45=0,,IF(P45&gt;10,,11-(P45)))</f>
        <v>0</v>
      </c>
      <c r="U45" s="115">
        <v>260</v>
      </c>
      <c r="V45" s="115">
        <v>116</v>
      </c>
    </row>
    <row r="46" spans="1:26" s="5" customFormat="1" ht="19.5" customHeight="1" x14ac:dyDescent="0.15">
      <c r="A46" s="66">
        <v>29</v>
      </c>
      <c r="B46" s="87" t="s">
        <v>50</v>
      </c>
      <c r="C46" s="87" t="s">
        <v>126</v>
      </c>
      <c r="D46" s="87" t="s">
        <v>92</v>
      </c>
      <c r="E46" s="22">
        <v>339163</v>
      </c>
      <c r="F46" s="35">
        <f>6.5+7+7.5+15+7+15+13+12+6.5+7+11+4.5+5.5+6+7+7+6.5+10+14</f>
        <v>168</v>
      </c>
      <c r="G46" s="35">
        <f>6.5+7+6.5+12+6+14+10+12+6.5*2+14+4+5.5*2+6+6.5*2+12+13</f>
        <v>160</v>
      </c>
      <c r="H46" s="7">
        <f>IF(F46=0,0,((AVERAGE(F46:G46))/U46))</f>
        <v>0.63076923076923075</v>
      </c>
      <c r="I46" s="37">
        <f>SUM(100-(H46*100))*1.5</f>
        <v>55.384615384615387</v>
      </c>
      <c r="J46" s="21">
        <v>4</v>
      </c>
      <c r="K46" s="21">
        <f>IF(($V46&gt;M46),0,((M46-V46)*0.4))</f>
        <v>0</v>
      </c>
      <c r="L46" s="21">
        <f>K46+J46</f>
        <v>4</v>
      </c>
      <c r="M46" s="20">
        <v>113.09</v>
      </c>
      <c r="O46" s="44">
        <f>I46+L46</f>
        <v>59.384615384615387</v>
      </c>
      <c r="P46" s="18">
        <v>3</v>
      </c>
      <c r="Q46" s="17" t="s">
        <v>238</v>
      </c>
      <c r="S46" s="18">
        <f>IF(P46=0,,IF(P46&gt;10,,11-(P46)))</f>
        <v>8</v>
      </c>
      <c r="U46" s="16">
        <v>260</v>
      </c>
      <c r="V46" s="16">
        <v>116</v>
      </c>
    </row>
    <row r="47" spans="1:26" s="5" customFormat="1" ht="19.5" customHeight="1" x14ac:dyDescent="0.15">
      <c r="A47" s="66">
        <v>28</v>
      </c>
      <c r="B47" s="116" t="s">
        <v>232</v>
      </c>
      <c r="C47" s="87" t="s">
        <v>125</v>
      </c>
      <c r="D47" s="87" t="s">
        <v>92</v>
      </c>
      <c r="E47" s="22">
        <v>327886</v>
      </c>
      <c r="F47" s="35">
        <f>5.5+6*2+13+5+12+11+12+5.5*2+11+6.5+7+5.5+6+6.5+6+11+13</f>
        <v>154</v>
      </c>
      <c r="G47" s="35">
        <f>5+5.5+5.5+10+5+8+11+11+5.5+5+10+5.5+5.5*3+5*2+10+11</f>
        <v>134.5</v>
      </c>
      <c r="H47" s="7">
        <f>IF(F47=0,0,((AVERAGE(F47:G47))/U47))</f>
        <v>0.55480769230769234</v>
      </c>
      <c r="I47" s="37">
        <f>SUM(100-(H47*100))*1.5</f>
        <v>66.778846153846146</v>
      </c>
      <c r="J47" s="21">
        <v>4</v>
      </c>
      <c r="K47" s="21">
        <f>IF(($V47&gt;M47),0,((M47-V47)*0.4))</f>
        <v>0</v>
      </c>
      <c r="L47" s="21">
        <f>K47+J47</f>
        <v>4</v>
      </c>
      <c r="M47" s="20">
        <v>113</v>
      </c>
      <c r="O47" s="44">
        <f>I47+L47</f>
        <v>70.778846153846146</v>
      </c>
      <c r="P47" s="18">
        <v>4</v>
      </c>
      <c r="Q47" s="17" t="s">
        <v>238</v>
      </c>
      <c r="S47" s="18">
        <f>IF(P47=0,,IF(P47&gt;10,,11-(P47)))</f>
        <v>7</v>
      </c>
      <c r="U47" s="16">
        <v>260</v>
      </c>
      <c r="V47" s="16">
        <v>116</v>
      </c>
    </row>
    <row r="48" spans="1:26" s="5" customFormat="1" ht="19.5" customHeight="1" x14ac:dyDescent="0.15">
      <c r="A48" s="66"/>
      <c r="B48" s="64"/>
      <c r="C48" s="64"/>
      <c r="D48" s="64"/>
      <c r="E48" s="22"/>
      <c r="F48" s="35"/>
      <c r="G48" s="35"/>
      <c r="H48" s="7">
        <f t="shared" ref="H48" si="32">IF(F48=0,0,((AVERAGE(F48:G48))/U48))</f>
        <v>0</v>
      </c>
      <c r="I48" s="37">
        <f t="shared" ref="I48" si="33">SUM(100-(H48*100))*1.5</f>
        <v>150</v>
      </c>
      <c r="J48" s="21"/>
      <c r="K48" s="21">
        <f t="shared" ref="K48" si="34">IF(($V48&gt;M48),0,((M48-V48)*0.4))</f>
        <v>0</v>
      </c>
      <c r="L48" s="21">
        <f t="shared" ref="L48" si="35">K48+J48</f>
        <v>0</v>
      </c>
      <c r="M48" s="20"/>
      <c r="O48" s="44">
        <f t="shared" ref="O48" si="36">I48+L48</f>
        <v>150</v>
      </c>
      <c r="P48" s="18"/>
      <c r="Q48" s="17" t="str">
        <f t="shared" ref="Q48" si="37">IFERROR(IF(OR(P48&gt;10,P48=0),"-",IF(AND((AVERAGE(F48:G48)/U48)&gt;0.55,L48=0),"Q","-")),0)</f>
        <v>-</v>
      </c>
      <c r="S48" s="18">
        <f t="shared" ref="S48" si="38">IF(P48=0,,IF(P48&gt;10,,11-(P48)))</f>
        <v>0</v>
      </c>
      <c r="U48" s="16">
        <v>260</v>
      </c>
      <c r="V48" s="16">
        <v>116</v>
      </c>
    </row>
    <row r="49" spans="1:22" ht="20" x14ac:dyDescent="0.2">
      <c r="A49" s="40"/>
      <c r="B49" s="79" t="s">
        <v>153</v>
      </c>
      <c r="C49" s="65"/>
      <c r="D49" s="27"/>
      <c r="E49" s="27"/>
      <c r="F49" s="28"/>
      <c r="G49" s="26"/>
      <c r="H49" s="25"/>
      <c r="I49" s="28"/>
      <c r="J49" s="28"/>
      <c r="K49" s="26"/>
      <c r="L49" s="26"/>
      <c r="M49" s="25"/>
      <c r="O49" s="28"/>
      <c r="P49" s="25"/>
      <c r="Q49" s="24"/>
      <c r="S49" s="23"/>
    </row>
    <row r="50" spans="1:22" s="5" customFormat="1" ht="19.5" customHeight="1" x14ac:dyDescent="0.2">
      <c r="A50" s="66">
        <v>19</v>
      </c>
      <c r="B50" s="87" t="s">
        <v>189</v>
      </c>
      <c r="C50" s="87" t="s">
        <v>190</v>
      </c>
      <c r="D50" s="92" t="s">
        <v>179</v>
      </c>
      <c r="E50" s="22">
        <v>12079</v>
      </c>
      <c r="F50" s="35">
        <f>6.5+7.5+7+13+5.5+13+10+15+7+6.5+15+7.5+6+7.5+8+7+6.5+12+14</f>
        <v>174.5</v>
      </c>
      <c r="G50" s="35">
        <f>6.5+7+6.5+12+6.5+14+12+14+6.5*2+14+7+6.5+7+6+7*2+13*2</f>
        <v>172</v>
      </c>
      <c r="H50" s="7">
        <f t="shared" ref="H50:H55" si="39">IF(F50=0,0,((AVERAGE(F50:G50))/U50))</f>
        <v>0.66634615384615381</v>
      </c>
      <c r="I50" s="37">
        <f t="shared" ref="I50:I55" si="40">SUM(100-(H50*100))*1.5</f>
        <v>50.04807692307692</v>
      </c>
      <c r="J50" s="21"/>
      <c r="K50" s="21"/>
      <c r="L50" s="21">
        <f t="shared" ref="L50:L55" si="41">K50+J50</f>
        <v>0</v>
      </c>
      <c r="M50" s="20">
        <v>100.66</v>
      </c>
      <c r="O50" s="44">
        <f t="shared" ref="O50:O55" si="42">I50+L50</f>
        <v>50.04807692307692</v>
      </c>
      <c r="P50" s="18">
        <v>1</v>
      </c>
      <c r="Q50" s="17" t="str">
        <f t="shared" ref="Q50:Q55" si="43">IFERROR(IF(OR(P50&gt;10,P50=0),"-",IF(AND((AVERAGE(F50:G50)/U50)&gt;0.55,L50=0),"Q","-")),0)</f>
        <v>Q</v>
      </c>
      <c r="S50" s="18">
        <f t="shared" ref="S50:S55" si="44">IF(P50=0,,IF(P50&gt;10,,11-(P50)))</f>
        <v>10</v>
      </c>
      <c r="U50" s="16">
        <v>260</v>
      </c>
      <c r="V50" s="16">
        <v>107</v>
      </c>
    </row>
    <row r="51" spans="1:22" s="5" customFormat="1" ht="19.5" customHeight="1" x14ac:dyDescent="0.15">
      <c r="A51" s="66">
        <v>60</v>
      </c>
      <c r="B51" s="87" t="s">
        <v>184</v>
      </c>
      <c r="C51" s="87" t="s">
        <v>185</v>
      </c>
      <c r="D51" s="87" t="s">
        <v>136</v>
      </c>
      <c r="E51" s="22">
        <v>24890</v>
      </c>
      <c r="F51" s="35">
        <f>5.5+7.5+7+11+7+14+13+14+7+6+13+7.5+6.5+7.5+6.5+7.5+6.5+12+14</f>
        <v>173</v>
      </c>
      <c r="G51" s="35">
        <f>5.5+7.5+7.5+12+7.5+14+8+11+6.5+6+14+7+6+6.5+6+7.5*2+13+14</f>
        <v>167</v>
      </c>
      <c r="H51" s="7">
        <f t="shared" si="39"/>
        <v>0.65384615384615385</v>
      </c>
      <c r="I51" s="37">
        <f t="shared" si="40"/>
        <v>51.92307692307692</v>
      </c>
      <c r="J51" s="21">
        <v>4</v>
      </c>
      <c r="K51" s="21"/>
      <c r="L51" s="21">
        <f t="shared" si="41"/>
        <v>4</v>
      </c>
      <c r="M51" s="20">
        <v>102.47</v>
      </c>
      <c r="O51" s="44">
        <f t="shared" si="42"/>
        <v>55.92307692307692</v>
      </c>
      <c r="P51" s="18">
        <v>3</v>
      </c>
      <c r="Q51" s="17" t="str">
        <f t="shared" si="43"/>
        <v>-</v>
      </c>
      <c r="S51" s="18">
        <f t="shared" si="44"/>
        <v>8</v>
      </c>
      <c r="U51" s="16">
        <v>260</v>
      </c>
      <c r="V51" s="16">
        <v>107</v>
      </c>
    </row>
    <row r="52" spans="1:22" s="5" customFormat="1" ht="19.5" customHeight="1" x14ac:dyDescent="0.15">
      <c r="A52" s="66">
        <v>62</v>
      </c>
      <c r="B52" s="116" t="s">
        <v>228</v>
      </c>
      <c r="C52" s="87" t="s">
        <v>188</v>
      </c>
      <c r="D52" s="87" t="s">
        <v>187</v>
      </c>
      <c r="E52" s="22">
        <v>25981</v>
      </c>
      <c r="F52" s="35">
        <f>6.5*2+6+15+6+13*3+6+5.5+15+6*2+5.5+6.5+7+6.5+11+13</f>
        <v>167</v>
      </c>
      <c r="G52" s="35">
        <f>6+7+6+14+6.5+12+14+13+6.5*2+14+6.5+6+7+6.5+7*2+13*2</f>
        <v>171.5</v>
      </c>
      <c r="H52" s="7">
        <f t="shared" si="39"/>
        <v>0.65096153846153848</v>
      </c>
      <c r="I52" s="37">
        <f t="shared" si="40"/>
        <v>52.355769230769219</v>
      </c>
      <c r="J52" s="21">
        <v>8</v>
      </c>
      <c r="K52" s="21"/>
      <c r="L52" s="21">
        <f t="shared" si="41"/>
        <v>8</v>
      </c>
      <c r="M52" s="20">
        <v>93.06</v>
      </c>
      <c r="O52" s="44">
        <f t="shared" si="42"/>
        <v>60.355769230769219</v>
      </c>
      <c r="P52" s="18">
        <v>4</v>
      </c>
      <c r="Q52" s="17" t="str">
        <f t="shared" si="43"/>
        <v>-</v>
      </c>
      <c r="S52" s="18">
        <f t="shared" si="44"/>
        <v>7</v>
      </c>
      <c r="U52" s="16">
        <v>260</v>
      </c>
      <c r="V52" s="16">
        <v>107</v>
      </c>
    </row>
    <row r="53" spans="1:22" s="5" customFormat="1" ht="19.5" customHeight="1" x14ac:dyDescent="0.2">
      <c r="A53" s="66">
        <v>77</v>
      </c>
      <c r="B53" s="87" t="s">
        <v>50</v>
      </c>
      <c r="C53" s="87" t="s">
        <v>191</v>
      </c>
      <c r="D53" s="92" t="s">
        <v>9</v>
      </c>
      <c r="E53" s="22">
        <v>1145</v>
      </c>
      <c r="F53" s="35">
        <f>6+6.5+6.5+12+5.5+14*3+6.5+7+14+6.5+6.5*3+7+6.5+13+14</f>
        <v>172.5</v>
      </c>
      <c r="G53" s="35">
        <f>6*2+7+13+6+12+14+12+6+6+14+6.5+6.5+6+6+6.5+6+13*2</f>
        <v>165.5</v>
      </c>
      <c r="H53" s="7">
        <f t="shared" si="39"/>
        <v>0.65</v>
      </c>
      <c r="I53" s="37">
        <f t="shared" si="40"/>
        <v>52.5</v>
      </c>
      <c r="J53" s="21"/>
      <c r="K53" s="21"/>
      <c r="L53" s="21">
        <f t="shared" si="41"/>
        <v>0</v>
      </c>
      <c r="M53" s="20">
        <v>99.84</v>
      </c>
      <c r="O53" s="44">
        <f t="shared" si="42"/>
        <v>52.5</v>
      </c>
      <c r="P53" s="18">
        <v>2</v>
      </c>
      <c r="Q53" s="17" t="str">
        <f t="shared" si="43"/>
        <v>Q</v>
      </c>
      <c r="S53" s="18">
        <f t="shared" si="44"/>
        <v>9</v>
      </c>
      <c r="U53" s="16">
        <v>260</v>
      </c>
      <c r="V53" s="16">
        <v>107</v>
      </c>
    </row>
    <row r="54" spans="1:22" s="5" customFormat="1" ht="19.5" customHeight="1" x14ac:dyDescent="0.2">
      <c r="A54" s="66">
        <v>61</v>
      </c>
      <c r="B54" s="116" t="s">
        <v>233</v>
      </c>
      <c r="C54" s="87" t="s">
        <v>186</v>
      </c>
      <c r="D54" s="91" t="s">
        <v>187</v>
      </c>
      <c r="E54" s="22">
        <v>15066</v>
      </c>
      <c r="F54" s="35">
        <f>6*3+11+5.5+10+11+12+6*2+12+6+5.5+5+6.5+6.5+6+12+13</f>
        <v>152</v>
      </c>
      <c r="G54" s="35">
        <f>6+6.5+6+13+6+11+13+14+6.5*2+14+6.5+6.5+6+7+6.5*2+13*2</f>
        <v>167.5</v>
      </c>
      <c r="H54" s="7">
        <f t="shared" si="39"/>
        <v>0.61442307692307696</v>
      </c>
      <c r="I54" s="37">
        <f t="shared" si="40"/>
        <v>57.83653846153846</v>
      </c>
      <c r="J54" s="21">
        <v>4</v>
      </c>
      <c r="K54" s="21"/>
      <c r="L54" s="21">
        <f t="shared" si="41"/>
        <v>4</v>
      </c>
      <c r="M54" s="20">
        <v>106.78</v>
      </c>
      <c r="O54" s="44">
        <f t="shared" si="42"/>
        <v>61.83653846153846</v>
      </c>
      <c r="P54" s="18">
        <v>5</v>
      </c>
      <c r="Q54" s="17" t="str">
        <f t="shared" si="43"/>
        <v>-</v>
      </c>
      <c r="S54" s="18">
        <f t="shared" si="44"/>
        <v>6</v>
      </c>
      <c r="U54" s="16">
        <v>260</v>
      </c>
      <c r="V54" s="16">
        <v>107</v>
      </c>
    </row>
    <row r="55" spans="1:22" s="5" customFormat="1" ht="19.5" customHeight="1" x14ac:dyDescent="0.2">
      <c r="A55" s="66">
        <v>130</v>
      </c>
      <c r="B55" s="87" t="s">
        <v>121</v>
      </c>
      <c r="C55" s="87" t="s">
        <v>127</v>
      </c>
      <c r="D55" s="91" t="s">
        <v>9</v>
      </c>
      <c r="E55" s="22"/>
      <c r="F55" s="35" t="s">
        <v>212</v>
      </c>
      <c r="G55" s="35"/>
      <c r="H55" s="7" t="e">
        <f t="shared" si="39"/>
        <v>#DIV/0!</v>
      </c>
      <c r="I55" s="37" t="e">
        <f t="shared" si="40"/>
        <v>#DIV/0!</v>
      </c>
      <c r="J55" s="21" t="s">
        <v>214</v>
      </c>
      <c r="K55" s="21"/>
      <c r="L55" s="21" t="e">
        <f t="shared" si="41"/>
        <v>#VALUE!</v>
      </c>
      <c r="M55" s="20"/>
      <c r="O55" s="44" t="e">
        <f t="shared" si="42"/>
        <v>#DIV/0!</v>
      </c>
      <c r="P55" s="18"/>
      <c r="Q55" s="17" t="str">
        <f t="shared" si="43"/>
        <v>-</v>
      </c>
      <c r="S55" s="18">
        <f t="shared" si="44"/>
        <v>0</v>
      </c>
      <c r="U55" s="16">
        <v>260</v>
      </c>
      <c r="V55" s="16">
        <v>107</v>
      </c>
    </row>
    <row r="56" spans="1:22" s="5" customFormat="1" ht="19.5" customHeight="1" x14ac:dyDescent="0.15">
      <c r="A56" s="66"/>
      <c r="B56" s="64"/>
      <c r="C56" s="64"/>
      <c r="D56" s="64"/>
      <c r="E56" s="22"/>
      <c r="F56" s="35"/>
      <c r="G56" s="35"/>
      <c r="H56" s="7">
        <f t="shared" ref="H56" si="45">IF(F56=0,0,((AVERAGE(F56:G56))/U56))</f>
        <v>0</v>
      </c>
      <c r="I56" s="37">
        <f t="shared" ref="I56" si="46">SUM(100-(H56*100))*1.5</f>
        <v>150</v>
      </c>
      <c r="J56" s="21"/>
      <c r="K56" s="21"/>
      <c r="L56" s="21"/>
      <c r="M56" s="20"/>
      <c r="O56" s="44"/>
      <c r="P56" s="18"/>
      <c r="Q56" s="17" t="str">
        <f t="shared" ref="Q56" si="47">IFERROR(IF(OR(P56&gt;10,P56=0),"-",IF(AND((AVERAGE(F56:G56)/U56)&gt;0.55,L56=0),"Q","-")),0)</f>
        <v>-</v>
      </c>
      <c r="S56" s="18">
        <f t="shared" ref="S56" si="48">IF(P56=0,,IF(P56&gt;10,,11-(P56)))</f>
        <v>0</v>
      </c>
      <c r="U56" s="16"/>
      <c r="V56" s="16"/>
    </row>
    <row r="57" spans="1:22" s="5" customFormat="1" ht="19.5" customHeight="1" x14ac:dyDescent="0.15">
      <c r="A57" s="84"/>
      <c r="B57" s="79" t="s">
        <v>193</v>
      </c>
      <c r="C57" s="86"/>
      <c r="D57" s="86"/>
      <c r="E57" s="10"/>
      <c r="F57" s="75"/>
      <c r="G57" s="76"/>
      <c r="H57" s="14"/>
      <c r="I57" s="37"/>
      <c r="J57" s="15"/>
      <c r="K57" s="77"/>
      <c r="L57" s="77"/>
      <c r="M57" s="13"/>
      <c r="O57" s="78"/>
      <c r="P57" s="11"/>
      <c r="Q57" s="17"/>
      <c r="S57" s="18"/>
      <c r="U57" s="16"/>
      <c r="V57" s="16"/>
    </row>
    <row r="58" spans="1:22" s="5" customFormat="1" ht="19.5" customHeight="1" x14ac:dyDescent="0.15">
      <c r="A58" s="66">
        <v>63</v>
      </c>
      <c r="B58" s="87" t="s">
        <v>222</v>
      </c>
      <c r="C58" s="87" t="s">
        <v>192</v>
      </c>
      <c r="D58" s="64" t="s">
        <v>7</v>
      </c>
      <c r="E58" s="10"/>
      <c r="F58" s="35">
        <f>6*3+12*2+11+13+13+5.5+3.5+6+12+6.5+6.5*2+5.5+13+6.5+6*3+7+6.5+6+12+14</f>
        <v>214</v>
      </c>
      <c r="G58" s="35"/>
      <c r="H58" s="7">
        <f>IF(F58=0,0,((AVERAGE(F58:G58))/U58))</f>
        <v>0.61142857142857143</v>
      </c>
      <c r="I58" s="37">
        <f>SUM(100-(H58*100))*1.5</f>
        <v>58.285714285714278</v>
      </c>
      <c r="J58" s="21"/>
      <c r="K58" s="21">
        <v>2.8</v>
      </c>
      <c r="L58" s="21">
        <f t="shared" ref="L58" si="49">K58+J58</f>
        <v>2.8</v>
      </c>
      <c r="M58" s="20">
        <v>98.25</v>
      </c>
      <c r="O58" s="44">
        <f>I58+L58</f>
        <v>61.085714285714275</v>
      </c>
      <c r="P58" s="18">
        <v>1</v>
      </c>
      <c r="Q58" s="17">
        <v>0</v>
      </c>
      <c r="S58" s="18">
        <f>IF(P58=0,,IF(P58&gt;10,,11-(P58)))</f>
        <v>10</v>
      </c>
      <c r="U58" s="16">
        <v>350</v>
      </c>
      <c r="V58" s="16">
        <v>92</v>
      </c>
    </row>
    <row r="59" spans="1:22" s="5" customFormat="1" ht="19.5" customHeight="1" x14ac:dyDescent="0.2">
      <c r="A59" s="43"/>
      <c r="B59" s="79" t="s">
        <v>194</v>
      </c>
      <c r="C59" s="41"/>
      <c r="D59" s="27"/>
      <c r="E59" s="27"/>
      <c r="F59" s="28"/>
      <c r="G59" s="26"/>
      <c r="H59" s="25"/>
      <c r="I59" s="28"/>
      <c r="J59" s="28"/>
      <c r="K59" s="26"/>
      <c r="L59" s="26"/>
      <c r="M59" s="25"/>
      <c r="N59"/>
      <c r="O59" s="28"/>
      <c r="P59" s="25"/>
      <c r="Q59" s="24"/>
      <c r="R59"/>
      <c r="S59" s="23"/>
      <c r="T59"/>
      <c r="U59"/>
      <c r="V59" s="16"/>
    </row>
    <row r="60" spans="1:22" s="5" customFormat="1" ht="19.5" customHeight="1" x14ac:dyDescent="0.2">
      <c r="A60" s="66">
        <v>64</v>
      </c>
      <c r="B60" s="117" t="s">
        <v>227</v>
      </c>
      <c r="C60" s="92" t="s">
        <v>195</v>
      </c>
      <c r="D60" s="92" t="s">
        <v>9</v>
      </c>
      <c r="E60" s="10">
        <v>1362</v>
      </c>
      <c r="F60" s="35">
        <f>6*3+12+11+10+14+16+6+6.5+7+12+6+6*3+12+6.5+6*2+7+7.5+6.5+6+12+13</f>
        <v>219</v>
      </c>
      <c r="G60" s="35"/>
      <c r="H60" s="7">
        <f>IF(F60=0,0,((AVERAGE(F60:G60))/U60))</f>
        <v>0.62571428571428567</v>
      </c>
      <c r="I60" s="37">
        <f>SUM(100-(H60*100))*1.5</f>
        <v>56.142857142857146</v>
      </c>
      <c r="J60" s="21">
        <v>8</v>
      </c>
      <c r="K60" s="21">
        <v>0</v>
      </c>
      <c r="L60" s="21">
        <f t="shared" ref="L60:L61" si="50">K60+J60</f>
        <v>8</v>
      </c>
      <c r="M60" s="20">
        <v>94.97</v>
      </c>
      <c r="O60" s="44">
        <f>I60+L60</f>
        <v>64.142857142857139</v>
      </c>
      <c r="P60" s="18">
        <v>1</v>
      </c>
      <c r="Q60" s="17">
        <v>0</v>
      </c>
      <c r="S60" s="18">
        <f>IF(P60=0,,IF(P60&gt;10,,11-(P60)))</f>
        <v>10</v>
      </c>
      <c r="U60" s="16">
        <v>350</v>
      </c>
      <c r="V60" s="16">
        <v>107</v>
      </c>
    </row>
    <row r="61" spans="1:22" s="5" customFormat="1" ht="19.5" customHeight="1" x14ac:dyDescent="0.15">
      <c r="A61" s="66"/>
      <c r="B61" s="64"/>
      <c r="C61" s="64"/>
      <c r="D61" s="64"/>
      <c r="E61" s="10"/>
      <c r="F61" s="35"/>
      <c r="G61" s="35"/>
      <c r="H61" s="7">
        <f>IF(F61=0,0,((AVERAGE(F61:G61))/U61))</f>
        <v>0</v>
      </c>
      <c r="I61" s="37">
        <f>SUM(100-(H61*100))*1.5</f>
        <v>150</v>
      </c>
      <c r="J61" s="21"/>
      <c r="K61" s="21">
        <v>0</v>
      </c>
      <c r="L61" s="21">
        <f t="shared" si="50"/>
        <v>0</v>
      </c>
      <c r="M61" s="20"/>
      <c r="O61" s="19">
        <f>I61+L61</f>
        <v>150</v>
      </c>
      <c r="P61" s="18"/>
      <c r="Q61" s="17" t="str">
        <f>IFERROR(IF(OR(P61&gt;10,P61=0),"-",IF(AND((AVERAGE(F61:G61)/U61)&gt;0.55,L61=0),"Q","-")),0)</f>
        <v>-</v>
      </c>
      <c r="S61" s="18">
        <f>IF(P61=0,,IF(P61&gt;10,,11-(P61)))</f>
        <v>0</v>
      </c>
      <c r="U61" s="16"/>
      <c r="V61" s="16"/>
    </row>
    <row r="62" spans="1:22" s="5" customFormat="1" ht="19.5" customHeight="1" x14ac:dyDescent="0.15">
      <c r="A62" s="84" t="s">
        <v>56</v>
      </c>
      <c r="B62" s="79" t="s">
        <v>154</v>
      </c>
      <c r="C62" s="85"/>
      <c r="D62" s="85"/>
      <c r="F62" s="75"/>
      <c r="G62" s="76"/>
      <c r="H62" s="14"/>
      <c r="I62" s="37"/>
      <c r="J62" s="15"/>
      <c r="K62" s="77"/>
      <c r="L62" s="77"/>
      <c r="M62" s="13"/>
      <c r="O62" s="12"/>
      <c r="P62" s="11"/>
      <c r="Q62" s="17"/>
      <c r="S62" s="18"/>
      <c r="U62" s="16"/>
      <c r="V62" s="16"/>
    </row>
    <row r="63" spans="1:22" s="5" customFormat="1" ht="19.5" customHeight="1" x14ac:dyDescent="0.15">
      <c r="A63" s="66">
        <v>66</v>
      </c>
      <c r="B63" s="87" t="s">
        <v>47</v>
      </c>
      <c r="C63" s="87" t="s">
        <v>198</v>
      </c>
      <c r="D63" s="87" t="s">
        <v>7</v>
      </c>
      <c r="E63" s="10"/>
      <c r="F63" s="35">
        <f>6*2+6.5+6*2+7+6.5+7+6+6.5*2+13+14</f>
        <v>97</v>
      </c>
      <c r="G63" s="35">
        <f>6.5*2+7*4+6*3+7*2+13+14</f>
        <v>100</v>
      </c>
      <c r="H63" s="7">
        <f t="shared" ref="H63:H69" si="51">IF(F63=0,0,((AVERAGE(F63:G63))/U63))</f>
        <v>0.65666666666666662</v>
      </c>
      <c r="I63" s="37">
        <f t="shared" ref="I63:I69" si="52">SUM(100-(H63*100))*1.5</f>
        <v>51.500000000000014</v>
      </c>
      <c r="J63" s="21"/>
      <c r="K63" s="21"/>
      <c r="L63" s="21">
        <f t="shared" ref="L63:L69" si="53">K63+J63</f>
        <v>0</v>
      </c>
      <c r="M63" s="20"/>
      <c r="O63" s="44">
        <f t="shared" ref="O63:O69" si="54">I63+L63</f>
        <v>51.500000000000014</v>
      </c>
      <c r="P63" s="18">
        <v>1</v>
      </c>
      <c r="Q63" s="17" t="str">
        <f t="shared" ref="Q63:Q69" si="55">IFERROR(IF(OR(P63&gt;10,P63=0),"-",IF(AND((AVERAGE(F63:G63)/U63)&gt;0.55,L63=0),"Q","-")),0)</f>
        <v>Q</v>
      </c>
      <c r="S63" s="18">
        <f t="shared" ref="S63:S69" si="56">IF(P63=0,,IF(P63&gt;10,,11-(P63)))</f>
        <v>10</v>
      </c>
      <c r="U63" s="16">
        <v>150</v>
      </c>
      <c r="V63" s="16"/>
    </row>
    <row r="64" spans="1:22" s="5" customFormat="1" ht="19.5" customHeight="1" x14ac:dyDescent="0.15">
      <c r="A64" s="66">
        <v>67</v>
      </c>
      <c r="B64" s="87" t="s">
        <v>90</v>
      </c>
      <c r="C64" s="87" t="s">
        <v>91</v>
      </c>
      <c r="D64" s="87" t="s">
        <v>92</v>
      </c>
      <c r="E64" s="10"/>
      <c r="F64" s="35">
        <f>6+6.5+7.5+6*2+7+6+5.5+7.5+7+6.5+13+14</f>
        <v>98.5</v>
      </c>
      <c r="G64" s="35">
        <f>5.5+7*3+6.5*2+6+4+6.5+7+6.5+12+13</f>
        <v>94.5</v>
      </c>
      <c r="H64" s="7">
        <f t="shared" si="51"/>
        <v>0.64333333333333331</v>
      </c>
      <c r="I64" s="37">
        <f t="shared" si="52"/>
        <v>53.500000000000007</v>
      </c>
      <c r="J64" s="21"/>
      <c r="K64" s="21"/>
      <c r="L64" s="21">
        <f t="shared" si="53"/>
        <v>0</v>
      </c>
      <c r="M64" s="20"/>
      <c r="O64" s="44">
        <f t="shared" si="54"/>
        <v>53.500000000000007</v>
      </c>
      <c r="P64" s="18">
        <v>2</v>
      </c>
      <c r="Q64" s="17" t="str">
        <f t="shared" si="55"/>
        <v>Q</v>
      </c>
      <c r="S64" s="18">
        <f t="shared" si="56"/>
        <v>9</v>
      </c>
      <c r="U64" s="16">
        <v>150</v>
      </c>
      <c r="V64" s="16"/>
    </row>
    <row r="65" spans="1:22" s="5" customFormat="1" ht="19.5" customHeight="1" x14ac:dyDescent="0.15">
      <c r="A65" s="66">
        <v>65</v>
      </c>
      <c r="B65" s="87" t="s">
        <v>196</v>
      </c>
      <c r="C65" s="87" t="s">
        <v>197</v>
      </c>
      <c r="D65" s="87" t="s">
        <v>49</v>
      </c>
      <c r="E65" s="10"/>
      <c r="F65" s="35">
        <f>6+6.5*3+6+7+5+6.5*2+6.5+6+12+13</f>
        <v>94</v>
      </c>
      <c r="G65" s="35">
        <f>5.5+6*2+6.5*2+6+5.5+6.5+7+6.5*2+13+13</f>
        <v>94.5</v>
      </c>
      <c r="H65" s="7">
        <f t="shared" si="51"/>
        <v>0.6283333333333333</v>
      </c>
      <c r="I65" s="37">
        <f t="shared" si="52"/>
        <v>55.750000000000007</v>
      </c>
      <c r="J65" s="21" t="s">
        <v>214</v>
      </c>
      <c r="K65" s="21"/>
      <c r="L65" s="21" t="e">
        <f t="shared" si="53"/>
        <v>#VALUE!</v>
      </c>
      <c r="M65" s="20"/>
      <c r="O65" s="44" t="e">
        <f t="shared" si="54"/>
        <v>#VALUE!</v>
      </c>
      <c r="P65" s="18"/>
      <c r="Q65" s="17" t="str">
        <f t="shared" si="55"/>
        <v>-</v>
      </c>
      <c r="S65" s="18">
        <f t="shared" si="56"/>
        <v>0</v>
      </c>
      <c r="U65" s="16">
        <v>150</v>
      </c>
      <c r="V65" s="16"/>
    </row>
    <row r="66" spans="1:22" s="5" customFormat="1" ht="19.5" customHeight="1" x14ac:dyDescent="0.15">
      <c r="A66" s="66">
        <v>143</v>
      </c>
      <c r="B66" s="87" t="s">
        <v>145</v>
      </c>
      <c r="C66" s="87" t="s">
        <v>146</v>
      </c>
      <c r="D66" s="87" t="s">
        <v>8</v>
      </c>
      <c r="E66" s="10"/>
      <c r="F66" s="35">
        <f>5.5+6*2+6.5*2+6+6.5*2+7.5+6.5+6+13*2</f>
        <v>95.5</v>
      </c>
      <c r="G66" s="35">
        <f>5.5+6.5+7+6*2+6.5+6+5.5+6.5+6.5*2+12*2</f>
        <v>92.5</v>
      </c>
      <c r="H66" s="7">
        <f t="shared" si="51"/>
        <v>0.62666666666666671</v>
      </c>
      <c r="I66" s="37">
        <f t="shared" si="52"/>
        <v>55.999999999999993</v>
      </c>
      <c r="J66" s="21">
        <v>4</v>
      </c>
      <c r="K66" s="21"/>
      <c r="L66" s="21">
        <f t="shared" si="53"/>
        <v>4</v>
      </c>
      <c r="M66" s="20"/>
      <c r="O66" s="44">
        <f t="shared" si="54"/>
        <v>59.999999999999993</v>
      </c>
      <c r="P66" s="18">
        <v>3</v>
      </c>
      <c r="Q66" s="17" t="str">
        <f t="shared" si="55"/>
        <v>-</v>
      </c>
      <c r="S66" s="18">
        <f t="shared" si="56"/>
        <v>8</v>
      </c>
      <c r="U66" s="16">
        <v>150</v>
      </c>
      <c r="V66" s="16"/>
    </row>
    <row r="67" spans="1:22" s="5" customFormat="1" ht="19.5" customHeight="1" x14ac:dyDescent="0.15">
      <c r="A67" s="66">
        <v>40</v>
      </c>
      <c r="B67" s="87" t="s">
        <v>51</v>
      </c>
      <c r="C67" s="87" t="s">
        <v>142</v>
      </c>
      <c r="D67" s="87" t="s">
        <v>58</v>
      </c>
      <c r="E67" s="10"/>
      <c r="F67" s="35">
        <f>5.5+6+5.5+6.5*2+6*2+5.5+6.5+6.5+5.5+13*2</f>
        <v>92</v>
      </c>
      <c r="G67" s="35">
        <f>6+6.5+4+6.5*3+6*3+6*2+12*2</f>
        <v>90</v>
      </c>
      <c r="H67" s="7">
        <f t="shared" si="51"/>
        <v>0.60666666666666669</v>
      </c>
      <c r="I67" s="37">
        <f t="shared" si="52"/>
        <v>58.999999999999993</v>
      </c>
      <c r="J67" s="21" t="s">
        <v>24</v>
      </c>
      <c r="K67" s="21"/>
      <c r="L67" s="21" t="e">
        <f t="shared" si="53"/>
        <v>#VALUE!</v>
      </c>
      <c r="M67" s="20"/>
      <c r="O67" s="44" t="e">
        <f t="shared" si="54"/>
        <v>#VALUE!</v>
      </c>
      <c r="P67" s="18"/>
      <c r="Q67" s="17" t="str">
        <f t="shared" si="55"/>
        <v>-</v>
      </c>
      <c r="S67" s="18">
        <f t="shared" si="56"/>
        <v>0</v>
      </c>
      <c r="U67" s="16">
        <v>150</v>
      </c>
      <c r="V67" s="16"/>
    </row>
    <row r="68" spans="1:22" s="5" customFormat="1" ht="19.5" customHeight="1" x14ac:dyDescent="0.15">
      <c r="A68" s="66">
        <v>41</v>
      </c>
      <c r="B68" s="87" t="s">
        <v>51</v>
      </c>
      <c r="C68" s="87" t="s">
        <v>149</v>
      </c>
      <c r="D68" s="87" t="s">
        <v>7</v>
      </c>
      <c r="E68" s="10"/>
      <c r="F68" s="35">
        <f>5.5+6.5+6*3+7.5+5.5+6+5+6+5.5+10+12</f>
        <v>87.5</v>
      </c>
      <c r="G68" s="35">
        <f>6+6.5*2+5.5+6+6.5+5.5+6+4.5+6.5+6+11*2</f>
        <v>87.5</v>
      </c>
      <c r="H68" s="7">
        <f t="shared" si="51"/>
        <v>0.58333333333333337</v>
      </c>
      <c r="I68" s="37">
        <f t="shared" si="52"/>
        <v>62.5</v>
      </c>
      <c r="J68" s="21" t="s">
        <v>214</v>
      </c>
      <c r="K68" s="21"/>
      <c r="L68" s="21" t="e">
        <f t="shared" si="53"/>
        <v>#VALUE!</v>
      </c>
      <c r="M68" s="20"/>
      <c r="O68" s="44" t="e">
        <f t="shared" si="54"/>
        <v>#VALUE!</v>
      </c>
      <c r="P68" s="18"/>
      <c r="Q68" s="17" t="str">
        <f t="shared" si="55"/>
        <v>-</v>
      </c>
      <c r="S68" s="18">
        <f t="shared" si="56"/>
        <v>0</v>
      </c>
      <c r="U68" s="16">
        <v>150</v>
      </c>
      <c r="V68" s="16"/>
    </row>
    <row r="69" spans="1:22" s="5" customFormat="1" ht="19.5" customHeight="1" x14ac:dyDescent="0.15">
      <c r="A69" s="66">
        <v>37</v>
      </c>
      <c r="B69" s="87" t="s">
        <v>138</v>
      </c>
      <c r="C69" s="87" t="s">
        <v>139</v>
      </c>
      <c r="D69" s="87" t="s">
        <v>132</v>
      </c>
      <c r="E69" s="10"/>
      <c r="F69" s="35">
        <f>6.5+7+4+6.5*5+5+6.5*2+10+13-2</f>
        <v>89</v>
      </c>
      <c r="G69" s="35">
        <f>6+6.5+4+6.5*3+6+6.5+5+6+5.5+12+10-2</f>
        <v>85</v>
      </c>
      <c r="H69" s="7">
        <f t="shared" si="51"/>
        <v>0.57999999999999996</v>
      </c>
      <c r="I69" s="37">
        <f t="shared" si="52"/>
        <v>63.000000000000014</v>
      </c>
      <c r="J69" s="21"/>
      <c r="K69" s="21"/>
      <c r="L69" s="21">
        <f t="shared" si="53"/>
        <v>0</v>
      </c>
      <c r="M69" s="20"/>
      <c r="O69" s="44">
        <f t="shared" si="54"/>
        <v>63.000000000000014</v>
      </c>
      <c r="P69" s="18">
        <v>4</v>
      </c>
      <c r="Q69" s="17" t="str">
        <f t="shared" si="55"/>
        <v>Q</v>
      </c>
      <c r="S69" s="18">
        <f t="shared" si="56"/>
        <v>7</v>
      </c>
      <c r="U69" s="16">
        <v>150</v>
      </c>
      <c r="V69" s="16"/>
    </row>
    <row r="70" spans="1:22" s="5" customFormat="1" ht="19.5" customHeight="1" x14ac:dyDescent="0.15">
      <c r="A70" s="66"/>
      <c r="B70" s="64"/>
      <c r="C70" s="64"/>
      <c r="D70" s="64"/>
      <c r="E70" s="10"/>
      <c r="F70" s="35"/>
      <c r="G70" s="35"/>
      <c r="H70" s="7">
        <f t="shared" ref="H70" si="57">IF(F70=0,0,((AVERAGE(F70:G70))/U70))</f>
        <v>0</v>
      </c>
      <c r="I70" s="37">
        <f t="shared" ref="I70" si="58">SUM(100-(H70*100))*1.5</f>
        <v>150</v>
      </c>
      <c r="J70" s="21"/>
      <c r="K70" s="21"/>
      <c r="L70" s="21">
        <f t="shared" ref="L70" si="59">K70+J70</f>
        <v>0</v>
      </c>
      <c r="M70" s="20"/>
      <c r="O70" s="44">
        <f t="shared" ref="O70" si="60">I70+L70</f>
        <v>150</v>
      </c>
      <c r="P70" s="18"/>
      <c r="Q70" s="17" t="str">
        <f t="shared" ref="Q70" si="61">IFERROR(IF(OR(P70&gt;10,P70=0),"-",IF(AND((AVERAGE(F70:G70)/U70)&gt;0.55,L70=0),"Q","-")),0)</f>
        <v>-</v>
      </c>
      <c r="S70" s="18">
        <f t="shared" ref="S70" si="62">IF(P70=0,,IF(P70&gt;10,,11-(P70)))</f>
        <v>0</v>
      </c>
      <c r="U70" s="16"/>
      <c r="V70" s="16"/>
    </row>
    <row r="71" spans="1:22" s="5" customFormat="1" ht="19.5" customHeight="1" x14ac:dyDescent="0.2">
      <c r="A71" s="42"/>
      <c r="B71" s="79" t="s">
        <v>199</v>
      </c>
      <c r="C71" s="41"/>
      <c r="D71" s="27"/>
      <c r="E71" s="27"/>
      <c r="F71" s="28"/>
      <c r="G71" s="26"/>
      <c r="H71" s="25"/>
      <c r="I71" s="28"/>
      <c r="J71" s="28"/>
      <c r="K71" s="26"/>
      <c r="L71" s="26"/>
      <c r="M71" s="25"/>
      <c r="N71"/>
      <c r="O71" s="28"/>
      <c r="P71" s="25"/>
      <c r="Q71" s="24"/>
      <c r="R71"/>
      <c r="S71" s="23"/>
      <c r="T71"/>
      <c r="U71"/>
      <c r="V71" s="16"/>
    </row>
    <row r="72" spans="1:22" s="5" customFormat="1" ht="19.5" customHeight="1" x14ac:dyDescent="0.15">
      <c r="A72" s="66">
        <v>35</v>
      </c>
      <c r="B72" s="87" t="s">
        <v>134</v>
      </c>
      <c r="C72" s="87" t="s">
        <v>135</v>
      </c>
      <c r="D72" s="87" t="s">
        <v>136</v>
      </c>
      <c r="E72" s="10"/>
      <c r="F72" s="21">
        <v>205</v>
      </c>
      <c r="G72" s="21">
        <v>180</v>
      </c>
      <c r="H72" s="7">
        <f t="shared" ref="H72:H78" si="63">IF(F72=0,0,((AVERAGE(F72:G72))/U72))</f>
        <v>0.6875</v>
      </c>
      <c r="I72" s="37">
        <f t="shared" ref="I72:I78" si="64">SUM(100-(H72*100))*1.5</f>
        <v>46.875</v>
      </c>
      <c r="J72" s="21"/>
      <c r="K72" s="21">
        <f t="shared" ref="K72:K78" si="65">IF((V72&gt;M72),0,(M72-V72)*0.4)</f>
        <v>0</v>
      </c>
      <c r="L72" s="21">
        <f t="shared" ref="L72:L78" si="66">K72+J72</f>
        <v>0</v>
      </c>
      <c r="M72" s="20">
        <v>102.8</v>
      </c>
      <c r="O72" s="44">
        <f t="shared" ref="O72:O78" si="67">I72+L72</f>
        <v>46.875</v>
      </c>
      <c r="P72" s="18">
        <v>1</v>
      </c>
      <c r="Q72" s="17" t="str">
        <f t="shared" ref="Q72:Q78" si="68">IFERROR(IF(OR(P72&gt;10,P72=0),"-",IF(AND((AVERAGE(F72:G72)/U72)&gt;0.55,L72=0),"Q","-")),0)</f>
        <v>Q</v>
      </c>
      <c r="S72" s="18">
        <f t="shared" ref="S72:S78" si="69">IF(P72=0,,IF(P72&gt;10,,11-(P72)))</f>
        <v>10</v>
      </c>
      <c r="U72" s="16">
        <v>280</v>
      </c>
      <c r="V72" s="16">
        <v>116</v>
      </c>
    </row>
    <row r="73" spans="1:22" s="5" customFormat="1" ht="19.5" customHeight="1" x14ac:dyDescent="0.15">
      <c r="A73" s="66">
        <v>32</v>
      </c>
      <c r="B73" s="87" t="s">
        <v>205</v>
      </c>
      <c r="C73" s="87" t="s">
        <v>113</v>
      </c>
      <c r="D73" s="87" t="s">
        <v>92</v>
      </c>
      <c r="E73" s="10"/>
      <c r="F73" s="21">
        <v>189.5</v>
      </c>
      <c r="G73" s="21">
        <v>170.5</v>
      </c>
      <c r="H73" s="7">
        <f t="shared" si="63"/>
        <v>0.6428571428571429</v>
      </c>
      <c r="I73" s="37">
        <f t="shared" si="64"/>
        <v>53.571428571428562</v>
      </c>
      <c r="J73" s="21"/>
      <c r="K73" s="21">
        <f t="shared" si="65"/>
        <v>0</v>
      </c>
      <c r="L73" s="21">
        <f t="shared" si="66"/>
        <v>0</v>
      </c>
      <c r="M73" s="20">
        <v>83.07</v>
      </c>
      <c r="O73" s="44">
        <f t="shared" si="67"/>
        <v>53.571428571428562</v>
      </c>
      <c r="P73" s="18">
        <v>2</v>
      </c>
      <c r="Q73" s="17" t="str">
        <f t="shared" si="68"/>
        <v>Q</v>
      </c>
      <c r="S73" s="18">
        <f t="shared" si="69"/>
        <v>9</v>
      </c>
      <c r="U73" s="16">
        <v>280</v>
      </c>
      <c r="V73" s="16">
        <v>92</v>
      </c>
    </row>
    <row r="74" spans="1:22" s="5" customFormat="1" ht="19.5" customHeight="1" x14ac:dyDescent="0.15">
      <c r="A74" s="66">
        <v>69</v>
      </c>
      <c r="B74" s="116" t="s">
        <v>234</v>
      </c>
      <c r="C74" s="87" t="s">
        <v>202</v>
      </c>
      <c r="D74" s="87" t="s">
        <v>92</v>
      </c>
      <c r="E74" s="10"/>
      <c r="F74" s="21">
        <v>177.5</v>
      </c>
      <c r="G74" s="21">
        <v>168</v>
      </c>
      <c r="H74" s="7">
        <f t="shared" si="63"/>
        <v>0.61696428571428574</v>
      </c>
      <c r="I74" s="37">
        <f t="shared" si="64"/>
        <v>57.455357142857139</v>
      </c>
      <c r="J74" s="21"/>
      <c r="K74" s="21">
        <f t="shared" si="65"/>
        <v>0</v>
      </c>
      <c r="L74" s="21">
        <f t="shared" si="66"/>
        <v>0</v>
      </c>
      <c r="M74" s="20">
        <v>110</v>
      </c>
      <c r="O74" s="44">
        <f t="shared" si="67"/>
        <v>57.455357142857139</v>
      </c>
      <c r="P74" s="18">
        <v>3</v>
      </c>
      <c r="Q74" s="17" t="str">
        <f t="shared" si="68"/>
        <v>Q</v>
      </c>
      <c r="S74" s="18">
        <f t="shared" si="69"/>
        <v>8</v>
      </c>
      <c r="U74" s="16">
        <v>280</v>
      </c>
      <c r="V74" s="16">
        <v>116</v>
      </c>
    </row>
    <row r="75" spans="1:22" s="5" customFormat="1" ht="19.5" customHeight="1" x14ac:dyDescent="0.15">
      <c r="A75" s="66">
        <v>70</v>
      </c>
      <c r="B75" s="87" t="s">
        <v>203</v>
      </c>
      <c r="C75" s="87" t="s">
        <v>204</v>
      </c>
      <c r="D75" s="87" t="s">
        <v>92</v>
      </c>
      <c r="E75" s="10"/>
      <c r="F75" s="21">
        <v>170</v>
      </c>
      <c r="G75" s="21">
        <v>167.5</v>
      </c>
      <c r="H75" s="7">
        <f t="shared" si="63"/>
        <v>0.6026785714285714</v>
      </c>
      <c r="I75" s="37">
        <f t="shared" si="64"/>
        <v>59.598214285714292</v>
      </c>
      <c r="J75" s="21"/>
      <c r="K75" s="21">
        <f t="shared" si="65"/>
        <v>0</v>
      </c>
      <c r="L75" s="21">
        <f t="shared" si="66"/>
        <v>0</v>
      </c>
      <c r="M75" s="20">
        <v>85.38</v>
      </c>
      <c r="O75" s="44">
        <f t="shared" si="67"/>
        <v>59.598214285714292</v>
      </c>
      <c r="P75" s="18">
        <v>4</v>
      </c>
      <c r="Q75" s="17" t="str">
        <f t="shared" si="68"/>
        <v>Q</v>
      </c>
      <c r="S75" s="18">
        <f t="shared" si="69"/>
        <v>7</v>
      </c>
      <c r="U75" s="16">
        <v>280</v>
      </c>
      <c r="V75" s="16">
        <v>92</v>
      </c>
    </row>
    <row r="76" spans="1:22" s="5" customFormat="1" ht="19.5" customHeight="1" x14ac:dyDescent="0.15">
      <c r="A76" s="66">
        <v>72</v>
      </c>
      <c r="B76" s="118" t="s">
        <v>235</v>
      </c>
      <c r="C76" s="64" t="s">
        <v>206</v>
      </c>
      <c r="D76" s="64" t="s">
        <v>136</v>
      </c>
      <c r="E76" s="10"/>
      <c r="F76" s="21">
        <v>169.5</v>
      </c>
      <c r="G76" s="21">
        <v>162.5</v>
      </c>
      <c r="H76" s="7">
        <f t="shared" si="63"/>
        <v>0.59285714285714286</v>
      </c>
      <c r="I76" s="37">
        <f t="shared" si="64"/>
        <v>61.071428571428569</v>
      </c>
      <c r="J76" s="21"/>
      <c r="K76" s="21">
        <f t="shared" si="65"/>
        <v>0</v>
      </c>
      <c r="L76" s="21">
        <f t="shared" si="66"/>
        <v>0</v>
      </c>
      <c r="M76" s="20">
        <v>107.9</v>
      </c>
      <c r="O76" s="44">
        <f t="shared" si="67"/>
        <v>61.071428571428569</v>
      </c>
      <c r="P76" s="18">
        <v>5</v>
      </c>
      <c r="Q76" s="17" t="str">
        <f t="shared" si="68"/>
        <v>Q</v>
      </c>
      <c r="S76" s="18">
        <f t="shared" si="69"/>
        <v>6</v>
      </c>
      <c r="U76" s="16">
        <v>280</v>
      </c>
      <c r="V76" s="16">
        <v>116</v>
      </c>
    </row>
    <row r="77" spans="1:22" s="5" customFormat="1" ht="19.5" customHeight="1" x14ac:dyDescent="0.15">
      <c r="A77" s="66">
        <v>68</v>
      </c>
      <c r="B77" s="87" t="s">
        <v>200</v>
      </c>
      <c r="C77" s="90" t="s">
        <v>201</v>
      </c>
      <c r="D77" s="90" t="s">
        <v>8</v>
      </c>
      <c r="E77" s="10"/>
      <c r="F77" s="21" t="s">
        <v>214</v>
      </c>
      <c r="G77" s="21"/>
      <c r="H77" s="7" t="e">
        <f t="shared" si="63"/>
        <v>#DIV/0!</v>
      </c>
      <c r="I77" s="37" t="e">
        <f t="shared" si="64"/>
        <v>#DIV/0!</v>
      </c>
      <c r="J77" s="21" t="s">
        <v>214</v>
      </c>
      <c r="K77" s="21">
        <f t="shared" si="65"/>
        <v>0</v>
      </c>
      <c r="L77" s="21" t="e">
        <f t="shared" si="66"/>
        <v>#VALUE!</v>
      </c>
      <c r="M77" s="20"/>
      <c r="O77" s="44" t="e">
        <f t="shared" si="67"/>
        <v>#DIV/0!</v>
      </c>
      <c r="P77" s="18"/>
      <c r="Q77" s="17" t="str">
        <f t="shared" si="68"/>
        <v>-</v>
      </c>
      <c r="S77" s="18">
        <f t="shared" si="69"/>
        <v>0</v>
      </c>
      <c r="U77" s="16">
        <v>280</v>
      </c>
      <c r="V77" s="16"/>
    </row>
    <row r="78" spans="1:22" s="5" customFormat="1" ht="19.5" customHeight="1" x14ac:dyDescent="0.15">
      <c r="A78" s="66">
        <v>73</v>
      </c>
      <c r="B78" s="87" t="s">
        <v>207</v>
      </c>
      <c r="C78" s="87" t="s">
        <v>208</v>
      </c>
      <c r="D78" s="87" t="s">
        <v>8</v>
      </c>
      <c r="E78" s="10"/>
      <c r="F78" s="21" t="s">
        <v>214</v>
      </c>
      <c r="G78" s="21"/>
      <c r="H78" s="7" t="e">
        <f t="shared" si="63"/>
        <v>#DIV/0!</v>
      </c>
      <c r="I78" s="37" t="e">
        <f t="shared" si="64"/>
        <v>#DIV/0!</v>
      </c>
      <c r="J78" s="21" t="s">
        <v>214</v>
      </c>
      <c r="K78" s="21">
        <f t="shared" si="65"/>
        <v>0</v>
      </c>
      <c r="L78" s="21" t="e">
        <f t="shared" si="66"/>
        <v>#VALUE!</v>
      </c>
      <c r="M78" s="20"/>
      <c r="O78" s="44" t="e">
        <f t="shared" si="67"/>
        <v>#DIV/0!</v>
      </c>
      <c r="P78" s="18"/>
      <c r="Q78" s="17" t="str">
        <f t="shared" si="68"/>
        <v>-</v>
      </c>
      <c r="S78" s="18">
        <f t="shared" si="69"/>
        <v>0</v>
      </c>
      <c r="U78" s="16">
        <v>280</v>
      </c>
      <c r="V78" s="16"/>
    </row>
    <row r="79" spans="1:22" s="5" customFormat="1" ht="19.5" customHeight="1" x14ac:dyDescent="0.15">
      <c r="A79" s="66"/>
      <c r="B79" s="80"/>
      <c r="C79" s="64"/>
      <c r="D79" s="64"/>
      <c r="E79" s="10"/>
      <c r="F79" s="21"/>
      <c r="G79" s="21"/>
      <c r="H79" s="7">
        <f t="shared" ref="H79" si="70">IF(F79=0,0,((AVERAGE(F79:G79))/U79))</f>
        <v>0</v>
      </c>
      <c r="I79" s="37">
        <f t="shared" ref="I79" si="71">SUM(100-(H79*100))*1.5</f>
        <v>150</v>
      </c>
      <c r="J79" s="21"/>
      <c r="K79" s="21">
        <f t="shared" ref="K79" si="72">IF((V79&gt;M79),0,(M79-V79)*0.4)</f>
        <v>0</v>
      </c>
      <c r="L79" s="21">
        <f t="shared" ref="L79" si="73">K79+J79</f>
        <v>0</v>
      </c>
      <c r="M79" s="20"/>
      <c r="O79" s="44">
        <f t="shared" ref="O79" si="74">I79+L79</f>
        <v>150</v>
      </c>
      <c r="P79" s="18"/>
      <c r="Q79" s="17" t="str">
        <f t="shared" ref="Q79" si="75">IFERROR(IF(OR(P79&gt;10,P79=0),"-",IF(AND((AVERAGE(F79:G79)/U79)&gt;0.55,L79=0),"Q","-")),0)</f>
        <v>-</v>
      </c>
      <c r="S79" s="18">
        <f t="shared" ref="S79" si="76">IF(P79=0,,IF(P79&gt;10,,11-(P79)))</f>
        <v>0</v>
      </c>
      <c r="U79" s="16"/>
      <c r="V79" s="16"/>
    </row>
    <row r="80" spans="1:22" s="5" customFormat="1" ht="19.5" customHeight="1" x14ac:dyDescent="0.2">
      <c r="A80" s="42"/>
      <c r="B80" s="79" t="s">
        <v>155</v>
      </c>
      <c r="C80" s="41"/>
      <c r="D80" s="27"/>
      <c r="E80" s="27"/>
      <c r="F80" s="28"/>
      <c r="G80" s="26"/>
      <c r="H80" s="25"/>
      <c r="I80" s="28"/>
      <c r="J80" s="28"/>
      <c r="K80" s="26"/>
      <c r="L80" s="26"/>
      <c r="M80" s="25"/>
      <c r="N80"/>
      <c r="O80" s="28"/>
      <c r="P80" s="25"/>
      <c r="Q80" s="24"/>
      <c r="R80"/>
      <c r="S80" s="23"/>
      <c r="T80"/>
      <c r="U80"/>
      <c r="V80" s="16"/>
    </row>
    <row r="81" spans="1:22" s="5" customFormat="1" ht="19.5" customHeight="1" x14ac:dyDescent="0.15">
      <c r="A81" s="66">
        <v>75</v>
      </c>
      <c r="B81" s="80" t="s">
        <v>53</v>
      </c>
      <c r="C81" s="64" t="s">
        <v>210</v>
      </c>
      <c r="D81" s="64" t="s">
        <v>8</v>
      </c>
      <c r="E81" s="10"/>
      <c r="F81" s="21">
        <f>6*2+5.5+6+6.5+6+7*3+6*2+13*2</f>
        <v>95</v>
      </c>
      <c r="G81" s="21">
        <f>6.5+7+6.5*2+7*2+8+6.5+7+6.5+7+14*2</f>
        <v>103.5</v>
      </c>
      <c r="H81" s="7">
        <f>IF(F81=0,0,((AVERAGE(F81:G81))/U81))</f>
        <v>0.66166666666666663</v>
      </c>
      <c r="I81" s="37">
        <f>SUM(100-(H81*100))*1.5</f>
        <v>50.750000000000014</v>
      </c>
      <c r="J81" s="21"/>
      <c r="K81" s="21"/>
      <c r="L81" s="21">
        <f>K81+J81</f>
        <v>0</v>
      </c>
      <c r="M81" s="20"/>
      <c r="O81" s="44">
        <f>I81+L81</f>
        <v>50.750000000000014</v>
      </c>
      <c r="P81" s="18">
        <v>1</v>
      </c>
      <c r="Q81" s="17" t="str">
        <f>IFERROR(IF(OR(P81&gt;10,P81=0),"-",IF(AND((AVERAGE(F81:G81)/U81)&gt;0.55,L81=0),"Q","-")),0)</f>
        <v>Q</v>
      </c>
      <c r="S81" s="18">
        <f>IF(P81=0,,IF(P81&gt;10,,11-(P81)))</f>
        <v>10</v>
      </c>
      <c r="U81" s="16">
        <v>150</v>
      </c>
      <c r="V81" s="16"/>
    </row>
    <row r="82" spans="1:22" s="5" customFormat="1" ht="19.5" customHeight="1" x14ac:dyDescent="0.15">
      <c r="A82" s="66">
        <v>76</v>
      </c>
      <c r="B82" s="80" t="s">
        <v>220</v>
      </c>
      <c r="C82" s="64" t="s">
        <v>211</v>
      </c>
      <c r="D82" s="64" t="s">
        <v>8</v>
      </c>
      <c r="E82" s="10"/>
      <c r="F82" s="21">
        <v>93</v>
      </c>
      <c r="G82" s="21">
        <f>6.5*3+7*2+6.5+7+6.5*2+6.5*2+13+14</f>
        <v>100</v>
      </c>
      <c r="H82" s="7">
        <f>IF(F82=0,0,((AVERAGE(F82:G82))/U82))</f>
        <v>0.64333333333333331</v>
      </c>
      <c r="I82" s="37">
        <f>SUM(100-(H82*100))*1.5</f>
        <v>53.500000000000007</v>
      </c>
      <c r="J82" s="21"/>
      <c r="K82" s="21"/>
      <c r="L82" s="21">
        <f>K82+J82</f>
        <v>0</v>
      </c>
      <c r="M82" s="20"/>
      <c r="O82" s="44">
        <f>I82+L82</f>
        <v>53.500000000000007</v>
      </c>
      <c r="P82" s="18">
        <v>2</v>
      </c>
      <c r="Q82" s="17" t="str">
        <f>IFERROR(IF(OR(P82&gt;10,P82=0),"-",IF(AND((AVERAGE(F82:G82)/U82)&gt;0.55,L82=0),"Q","-")),0)</f>
        <v>Q</v>
      </c>
      <c r="S82" s="18">
        <f>IF(P82=0,,IF(P82&gt;10,,11-(P82)))</f>
        <v>9</v>
      </c>
      <c r="U82" s="16">
        <v>150</v>
      </c>
      <c r="V82" s="16"/>
    </row>
    <row r="83" spans="1:22" s="5" customFormat="1" ht="19.5" customHeight="1" x14ac:dyDescent="0.15">
      <c r="A83" s="66">
        <v>74</v>
      </c>
      <c r="B83" s="80" t="s">
        <v>55</v>
      </c>
      <c r="C83" s="64" t="s">
        <v>54</v>
      </c>
      <c r="D83" s="64" t="s">
        <v>8</v>
      </c>
      <c r="E83" s="10"/>
      <c r="F83" s="21">
        <f>6+6.5+5+5.5+6+5.5*2+6+6.5+6*2+13*2</f>
        <v>90.5</v>
      </c>
      <c r="G83" s="21">
        <f>6.5*2+7*3+6+6.5*2+7+6.5*2+14*2</f>
        <v>101</v>
      </c>
      <c r="H83" s="7">
        <f>IF(F83=0,0,((AVERAGE(F83:G83))/U83))</f>
        <v>0.63833333333333331</v>
      </c>
      <c r="I83" s="37">
        <f>SUM(100-(H83*100))*1.5</f>
        <v>54.250000000000007</v>
      </c>
      <c r="J83" s="21"/>
      <c r="K83" s="21"/>
      <c r="L83" s="21">
        <f>K83+J83</f>
        <v>0</v>
      </c>
      <c r="M83" s="20"/>
      <c r="O83" s="44">
        <f>I83+L83</f>
        <v>54.250000000000007</v>
      </c>
      <c r="P83" s="18">
        <v>3</v>
      </c>
      <c r="Q83" s="17" t="str">
        <f>IFERROR(IF(OR(P83&gt;10,P83=0),"-",IF(AND((AVERAGE(F83:G83)/U83)&gt;0.55,L83=0),"Q","-")),0)</f>
        <v>Q</v>
      </c>
      <c r="S83" s="18">
        <f>IF(P83=0,,IF(P83&gt;10,,11-(P83)))</f>
        <v>8</v>
      </c>
      <c r="U83" s="16">
        <v>150</v>
      </c>
      <c r="V83" s="16"/>
    </row>
    <row r="84" spans="1:22" s="5" customFormat="1" ht="19.5" customHeight="1" x14ac:dyDescent="0.15">
      <c r="A84" s="66">
        <v>44</v>
      </c>
      <c r="B84" s="87" t="s">
        <v>147</v>
      </c>
      <c r="C84" s="87" t="s">
        <v>148</v>
      </c>
      <c r="D84" s="64" t="s">
        <v>7</v>
      </c>
      <c r="E84" s="10"/>
      <c r="F84" s="21">
        <f>6*3+5.5+5+5.5+7+6+5.5+6*2+10+12-2</f>
        <v>84.5</v>
      </c>
      <c r="G84" s="21">
        <f>6.5*2+5+6+5+6*2+6.5+6*3+13*2-2</f>
        <v>89.5</v>
      </c>
      <c r="H84" s="7">
        <f>IF(F84=0,0,((AVERAGE(F84:G84))/U84))</f>
        <v>0.57999999999999996</v>
      </c>
      <c r="I84" s="37">
        <f>SUM(100-(H84*100))*1.5</f>
        <v>63.000000000000014</v>
      </c>
      <c r="J84" s="21" t="s">
        <v>24</v>
      </c>
      <c r="K84" s="21"/>
      <c r="L84" s="21" t="e">
        <f>K84+J84</f>
        <v>#VALUE!</v>
      </c>
      <c r="M84" s="20"/>
      <c r="O84" s="44" t="e">
        <f>I84+L84</f>
        <v>#VALUE!</v>
      </c>
      <c r="P84" s="18">
        <v>4</v>
      </c>
      <c r="Q84" s="17">
        <f>IFERROR(IF(OR(P84&gt;10,P84=0),"-",IF(AND((AVERAGE(F84:G84)/U84)&gt;0.55,L84=0),"Q","-")),0)</f>
        <v>0</v>
      </c>
      <c r="S84" s="18">
        <f>IF(P84=0,,IF(P84&gt;10,,11-(P84)))</f>
        <v>7</v>
      </c>
      <c r="U84" s="16">
        <v>150</v>
      </c>
      <c r="V84" s="16"/>
    </row>
    <row r="85" spans="1:22" s="5" customFormat="1" ht="19.5" customHeight="1" x14ac:dyDescent="0.15">
      <c r="A85" s="66">
        <v>142</v>
      </c>
      <c r="B85" s="87" t="s">
        <v>143</v>
      </c>
      <c r="C85" s="87" t="s">
        <v>144</v>
      </c>
      <c r="D85" s="64" t="s">
        <v>7</v>
      </c>
      <c r="E85" s="10"/>
      <c r="F85" s="21" t="s">
        <v>214</v>
      </c>
      <c r="G85" s="21"/>
      <c r="H85" s="7" t="e">
        <f>IF(F85=0,0,((AVERAGE(F85:G85))/U85))</f>
        <v>#DIV/0!</v>
      </c>
      <c r="I85" s="37" t="e">
        <f>SUM(100-(H85*100))*1.5</f>
        <v>#DIV/0!</v>
      </c>
      <c r="J85" s="21"/>
      <c r="K85" s="21"/>
      <c r="L85" s="21">
        <f>K85+J85</f>
        <v>0</v>
      </c>
      <c r="M85" s="20"/>
      <c r="O85" s="44" t="e">
        <f>I85+L85</f>
        <v>#DIV/0!</v>
      </c>
      <c r="P85" s="18"/>
      <c r="Q85" s="17" t="str">
        <f>IFERROR(IF(OR(P85&gt;10,P85=0),"-",IF(AND((AVERAGE(F85:G85)/U85)&gt;0.55,L85=0),"Q","-")),0)</f>
        <v>-</v>
      </c>
      <c r="S85" s="18">
        <f>IF(P85=0,,IF(P85&gt;10,,11-(P85)))</f>
        <v>0</v>
      </c>
      <c r="U85" s="16">
        <v>150</v>
      </c>
      <c r="V85" s="16"/>
    </row>
    <row r="86" spans="1:22" s="5" customFormat="1" ht="19.5" customHeight="1" x14ac:dyDescent="0.15">
      <c r="A86" s="74"/>
      <c r="B86" s="81"/>
      <c r="C86" s="64"/>
      <c r="D86" s="64"/>
      <c r="E86" s="10"/>
      <c r="F86" s="21"/>
      <c r="G86" s="21"/>
      <c r="H86" s="7">
        <f t="shared" ref="H86" si="77">IF(F86=0,0,((AVERAGE(F86:G86))/U86))</f>
        <v>0</v>
      </c>
      <c r="I86" s="37">
        <f t="shared" ref="I86" si="78">SUM(100-(H86*100))*1.5</f>
        <v>150</v>
      </c>
      <c r="J86" s="21"/>
      <c r="K86" s="21"/>
      <c r="L86" s="21">
        <f t="shared" ref="L86" si="79">K86+J86</f>
        <v>0</v>
      </c>
      <c r="M86" s="20"/>
      <c r="O86" s="44">
        <f t="shared" ref="O86" si="80">I86+L86</f>
        <v>150</v>
      </c>
      <c r="P86" s="18"/>
      <c r="Q86" s="17" t="str">
        <f t="shared" ref="Q86" si="81">IFERROR(IF(OR(P86&gt;10,P86=0),"-",IF(AND((AVERAGE(F86:G86)/U86)&gt;0.55,L86=0),"Q","-")),0)</f>
        <v>-</v>
      </c>
      <c r="S86" s="18">
        <f t="shared" ref="S86" si="82">IF(P86=0,,IF(P86&gt;10,,11-(P86)))</f>
        <v>0</v>
      </c>
      <c r="U86" s="16"/>
      <c r="V86" s="16"/>
    </row>
  </sheetData>
  <mergeCells count="4">
    <mergeCell ref="F3:H3"/>
    <mergeCell ref="J3:M3"/>
    <mergeCell ref="O3:P3"/>
    <mergeCell ref="Q3:Q4"/>
  </mergeCells>
  <conditionalFormatting sqref="Q59:Q62 Q3:Q41 Q43:Q57 Q71:Q86">
    <cfRule type="cellIs" dxfId="2" priority="3" operator="equal">
      <formula>"Q"</formula>
    </cfRule>
  </conditionalFormatting>
  <conditionalFormatting sqref="Q63:Q70">
    <cfRule type="cellIs" dxfId="1" priority="2" operator="equal">
      <formula>"Q"</formula>
    </cfRule>
  </conditionalFormatting>
  <conditionalFormatting sqref="Q58">
    <cfRule type="cellIs" dxfId="0" priority="1" operator="equal">
      <formula>"Q"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CT -Scoring</vt:lpstr>
      <vt:lpstr>JE - Scoring</vt:lpstr>
      <vt:lpstr>Sheet1</vt:lpstr>
      <vt:lpstr>Sheet2</vt:lpstr>
      <vt:lpstr>'CT -Scoring'!Print_Area</vt:lpstr>
      <vt:lpstr>'JE - Scoring'!Print_Area</vt:lpstr>
      <vt:lpstr>'CT -Scoring'!Print_Titles</vt:lpstr>
      <vt:lpstr>'JE - Scoring'!Print_Titles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Microsoft Office User</cp:lastModifiedBy>
  <cp:lastPrinted>2024-05-04T06:06:16Z</cp:lastPrinted>
  <dcterms:created xsi:type="dcterms:W3CDTF">2014-07-25T04:31:22Z</dcterms:created>
  <dcterms:modified xsi:type="dcterms:W3CDTF">2024-05-13T10:49:18Z</dcterms:modified>
</cp:coreProperties>
</file>